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https://assaabloyeur.sharepoint.com/sites/AAES-FlexiForceEMEA-TeamMarketing/Shared Documents/Team Marketing/15_R&amp;D/Full Vision/"/>
    </mc:Choice>
  </mc:AlternateContent>
  <xr:revisionPtr revIDLastSave="0" documentId="8_{28694707-6D4B-479F-A003-465BA3E8CF50}" xr6:coauthVersionLast="47" xr6:coauthVersionMax="47" xr10:uidLastSave="{00000000-0000-0000-0000-000000000000}"/>
  <workbookProtection workbookAlgorithmName="SHA-512" workbookHashValue="QdZTNtLJKpmlzHwgLGtsoF7tkW4YolYbKkKlnmBfkTsCEMuTR2Qia6Px6g2WX2r0XGl/prkUNKg1U3KMmtCRkA==" workbookSaltValue="eAg5S6xj81Q7z7IWnhBsmA==" workbookSpinCount="100000" lockStructure="1"/>
  <bookViews>
    <workbookView xWindow="-120" yWindow="-120" windowWidth="29040" windowHeight="15720" tabRatio="939" xr2:uid="{00000000-000D-0000-FFFF-FFFF00000000}"/>
  </bookViews>
  <sheets>
    <sheet name="order form" sheetId="1" r:id="rId1"/>
    <sheet name="price calculation" sheetId="7" state="hidden" r:id="rId2"/>
    <sheet name="staging" sheetId="22" state="hidden" r:id="rId3"/>
    <sheet name="languages" sheetId="20" state="hidden" r:id="rId4"/>
    <sheet name="drilling" sheetId="23" state="hidden" r:id="rId5"/>
    <sheet name="mat" sheetId="9" state="hidden" r:id="rId6"/>
    <sheet name="paneltypes" sheetId="2" state="hidden" r:id="rId7"/>
    <sheet name="powdercoating" sheetId="3" state="hidden" r:id="rId8"/>
    <sheet name="glassing" sheetId="4" state="hidden" r:id="rId9"/>
    <sheet name="plexi" sheetId="5" state="hidden" r:id="rId10"/>
    <sheet name="lath" sheetId="15" state="hidden" r:id="rId11"/>
    <sheet name="oper" sheetId="10" state="hidden" r:id="rId12"/>
    <sheet name="comp" sheetId="11" state="hidden" r:id="rId13"/>
    <sheet name="parity" sheetId="12" state="hidden" r:id="rId14"/>
    <sheet name="alubond" sheetId="16" state="hidden" r:id="rId15"/>
    <sheet name="passdoor" sheetId="21" state="hidden" r:id="rId16"/>
  </sheets>
  <definedNames>
    <definedName name="_xlnm._FilterDatabase" localSheetId="5" hidden="1">mat!$A$1:$P$49</definedName>
    <definedName name="_xlnm.Print_Area" localSheetId="0">'order form'!$A$2:$L$108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2" l="1"/>
  <c r="C10" i="2"/>
  <c r="D29" i="1"/>
  <c r="F97" i="22" l="1"/>
  <c r="F71" i="22"/>
  <c r="F24" i="22"/>
  <c r="D97" i="22"/>
  <c r="D71" i="22"/>
  <c r="D24" i="22"/>
  <c r="AD29" i="7" l="1"/>
  <c r="AH29" i="7" s="1"/>
  <c r="AC29" i="7"/>
  <c r="AD28" i="7"/>
  <c r="AC28" i="7"/>
  <c r="AD27" i="7"/>
  <c r="AH27" i="7" s="1"/>
  <c r="AC27" i="7"/>
  <c r="Q29" i="7"/>
  <c r="P29" i="7"/>
  <c r="Q28" i="7"/>
  <c r="U28" i="7" s="1"/>
  <c r="P28" i="7"/>
  <c r="Q27" i="7"/>
  <c r="P27" i="7"/>
  <c r="D29" i="7"/>
  <c r="C29" i="7"/>
  <c r="D28" i="7"/>
  <c r="C28" i="7"/>
  <c r="D27" i="7"/>
  <c r="C27" i="7"/>
  <c r="H97" i="22"/>
  <c r="H71" i="22"/>
  <c r="D99" i="22"/>
  <c r="H99" i="22" s="1"/>
  <c r="D98" i="22"/>
  <c r="H98" i="22" s="1"/>
  <c r="G99" i="22"/>
  <c r="G98" i="22"/>
  <c r="D73" i="22"/>
  <c r="H73" i="22" s="1"/>
  <c r="I73" i="22" s="1"/>
  <c r="D72" i="22"/>
  <c r="H72" i="22" s="1"/>
  <c r="G73" i="22"/>
  <c r="G72" i="22"/>
  <c r="G26" i="22"/>
  <c r="G25" i="22"/>
  <c r="D26" i="22"/>
  <c r="H26" i="22" s="1"/>
  <c r="D25" i="22"/>
  <c r="H25" i="22" s="1"/>
  <c r="AD26" i="7"/>
  <c r="AH26" i="7" s="1"/>
  <c r="AC26" i="7"/>
  <c r="AC25" i="7"/>
  <c r="Q26" i="7"/>
  <c r="U26" i="7" s="1"/>
  <c r="P26" i="7"/>
  <c r="P25" i="7"/>
  <c r="D26" i="7"/>
  <c r="C26" i="7"/>
  <c r="C25" i="7"/>
  <c r="E97" i="22"/>
  <c r="E71" i="22"/>
  <c r="H24" i="22"/>
  <c r="E24" i="22"/>
  <c r="G24" i="22" s="1"/>
  <c r="I72" i="22" l="1"/>
  <c r="I25" i="22"/>
  <c r="AH28" i="7"/>
  <c r="U29" i="7"/>
  <c r="U27" i="7"/>
  <c r="H29" i="7"/>
  <c r="H28" i="7"/>
  <c r="H27" i="7"/>
  <c r="I99" i="22"/>
  <c r="I98" i="22"/>
  <c r="I26" i="22"/>
  <c r="I24" i="22"/>
  <c r="H26" i="7"/>
  <c r="G97" i="22"/>
  <c r="I97" i="22" s="1"/>
  <c r="G71" i="22"/>
  <c r="I71" i="22" s="1"/>
  <c r="AD25" i="7" l="1"/>
  <c r="Q25" i="7"/>
  <c r="D25" i="7"/>
  <c r="H25" i="7" s="1"/>
  <c r="H96" i="22"/>
  <c r="D96" i="22"/>
  <c r="H70" i="22"/>
  <c r="D70" i="22"/>
  <c r="H23" i="22"/>
  <c r="D23" i="22"/>
  <c r="F94" i="22"/>
  <c r="F68" i="22"/>
  <c r="F21" i="22"/>
  <c r="F23" i="22" l="1"/>
  <c r="G23" i="22" s="1"/>
  <c r="I23" i="22" s="1"/>
  <c r="F70" i="22"/>
  <c r="G70" i="22" s="1"/>
  <c r="I70" i="22" s="1"/>
  <c r="F96" i="22"/>
  <c r="G96" i="22" s="1"/>
  <c r="I96" i="22" s="1"/>
  <c r="U25" i="7"/>
  <c r="AH25" i="7"/>
  <c r="AF40" i="7" l="1"/>
  <c r="AF38" i="7"/>
  <c r="S40" i="7"/>
  <c r="S38" i="7"/>
  <c r="F40" i="7"/>
  <c r="F38" i="7"/>
  <c r="AD24" i="7" l="1"/>
  <c r="AD23" i="7"/>
  <c r="AD16" i="7"/>
  <c r="AD15" i="7"/>
  <c r="AD13" i="7"/>
  <c r="AD12" i="7"/>
  <c r="AD10" i="7"/>
  <c r="C82" i="22"/>
  <c r="C79" i="22"/>
  <c r="C80" i="22" s="1"/>
  <c r="Q24" i="7"/>
  <c r="Q23" i="7"/>
  <c r="Q16" i="7"/>
  <c r="Q15" i="7"/>
  <c r="Q13" i="7"/>
  <c r="C54" i="22"/>
  <c r="C55" i="22" s="1"/>
  <c r="C51" i="22"/>
  <c r="C52" i="22" s="1"/>
  <c r="C48" i="22"/>
  <c r="C49" i="22" s="1"/>
  <c r="Q12" i="7"/>
  <c r="Q10" i="7"/>
  <c r="C43" i="22"/>
  <c r="C44" i="22" s="1"/>
  <c r="C45" i="22" s="1"/>
  <c r="C38" i="22"/>
  <c r="D24" i="7"/>
  <c r="D23" i="7"/>
  <c r="D16" i="7"/>
  <c r="D15" i="7"/>
  <c r="D13" i="7"/>
  <c r="D12" i="7"/>
  <c r="C11" i="22"/>
  <c r="D10" i="7"/>
  <c r="C10" i="22"/>
  <c r="C7" i="22"/>
  <c r="D9" i="7" s="1"/>
  <c r="C5" i="22"/>
  <c r="C6" i="22" s="1"/>
  <c r="C2" i="22"/>
  <c r="E87" i="1"/>
  <c r="E74" i="22" s="1"/>
  <c r="K20" i="1"/>
  <c r="C34" i="22"/>
  <c r="C35" i="22" s="1"/>
  <c r="C36" i="22" s="1"/>
  <c r="C37" i="22" s="1"/>
  <c r="C77" i="22"/>
  <c r="C78" i="22" s="1"/>
  <c r="E94" i="1"/>
  <c r="D57" i="22" s="1"/>
  <c r="B7" i="23" s="1"/>
  <c r="C4" i="12"/>
  <c r="C3" i="12"/>
  <c r="H15" i="22"/>
  <c r="H87" i="22"/>
  <c r="D87" i="22"/>
  <c r="G87" i="22" s="1"/>
  <c r="AV19" i="7"/>
  <c r="H63" i="22"/>
  <c r="C61" i="22"/>
  <c r="H53" i="22"/>
  <c r="I53" i="22" s="1"/>
  <c r="F84" i="22"/>
  <c r="F12" i="22"/>
  <c r="H34" i="22"/>
  <c r="C27" i="22"/>
  <c r="H95" i="22"/>
  <c r="E95" i="22"/>
  <c r="H94" i="22"/>
  <c r="E94" i="22"/>
  <c r="H93" i="22"/>
  <c r="H91" i="22"/>
  <c r="K91" i="22" s="1"/>
  <c r="H90" i="22"/>
  <c r="C90" i="22"/>
  <c r="AD20" i="7" s="1"/>
  <c r="H89" i="22"/>
  <c r="N89" i="22" s="1"/>
  <c r="H88" i="22"/>
  <c r="H86" i="22"/>
  <c r="I86" i="22" s="1"/>
  <c r="H85" i="22"/>
  <c r="O85" i="22" s="1"/>
  <c r="H78" i="22"/>
  <c r="H77" i="22"/>
  <c r="H76" i="22"/>
  <c r="H75" i="22"/>
  <c r="C74" i="22"/>
  <c r="F95" i="22"/>
  <c r="D95" i="22"/>
  <c r="D94" i="22"/>
  <c r="F90" i="22"/>
  <c r="F93" i="22" s="1"/>
  <c r="G93" i="22" s="1"/>
  <c r="F86" i="22"/>
  <c r="F85" i="22"/>
  <c r="F83" i="22"/>
  <c r="G83" i="22" s="1"/>
  <c r="C83" i="22"/>
  <c r="AD11" i="7" s="1"/>
  <c r="F82" i="22"/>
  <c r="F81" i="22"/>
  <c r="F80" i="22"/>
  <c r="F79" i="22"/>
  <c r="F78" i="22"/>
  <c r="F77" i="22"/>
  <c r="F76" i="22"/>
  <c r="F75" i="22"/>
  <c r="F74" i="22"/>
  <c r="H69" i="22"/>
  <c r="H68" i="22"/>
  <c r="E69" i="22"/>
  <c r="E68" i="22"/>
  <c r="H67" i="22"/>
  <c r="H62" i="22"/>
  <c r="C62" i="22"/>
  <c r="Q20" i="7" s="1"/>
  <c r="H60" i="22"/>
  <c r="H57" i="22"/>
  <c r="H56" i="22"/>
  <c r="T56" i="22" s="1"/>
  <c r="Q43" i="7" s="1"/>
  <c r="H50" i="22"/>
  <c r="I50" i="22" s="1"/>
  <c r="H37" i="22"/>
  <c r="H33" i="22"/>
  <c r="H30" i="22"/>
  <c r="F69" i="22"/>
  <c r="D69" i="22"/>
  <c r="D68" i="22"/>
  <c r="D56" i="22"/>
  <c r="F46" i="22"/>
  <c r="G46" i="22" s="1"/>
  <c r="C46" i="22"/>
  <c r="Q11" i="7" s="1"/>
  <c r="F45" i="22"/>
  <c r="F41" i="22"/>
  <c r="F37" i="22"/>
  <c r="F33" i="22"/>
  <c r="F18" i="22"/>
  <c r="F20" i="22" s="1"/>
  <c r="G20" i="22" s="1"/>
  <c r="F2" i="22"/>
  <c r="F3" i="22"/>
  <c r="H22" i="22"/>
  <c r="F22" i="22"/>
  <c r="E22" i="22"/>
  <c r="D22" i="22"/>
  <c r="H21" i="22"/>
  <c r="E21" i="22"/>
  <c r="D21" i="22"/>
  <c r="H20" i="22"/>
  <c r="H19" i="22"/>
  <c r="H18" i="22"/>
  <c r="N18" i="22" s="1"/>
  <c r="C18" i="22"/>
  <c r="D20" i="7" s="1"/>
  <c r="H17" i="22"/>
  <c r="H16" i="22"/>
  <c r="C16" i="22"/>
  <c r="D15" i="22"/>
  <c r="G15" i="22" s="1"/>
  <c r="H14" i="22"/>
  <c r="I14" i="22" s="1"/>
  <c r="F14" i="22"/>
  <c r="H13" i="22"/>
  <c r="F13" i="22"/>
  <c r="F11" i="22"/>
  <c r="G11" i="22" s="1"/>
  <c r="H6" i="22"/>
  <c r="H5" i="22"/>
  <c r="C2" i="15"/>
  <c r="H4" i="22"/>
  <c r="H3" i="22"/>
  <c r="F10" i="22"/>
  <c r="F9" i="22"/>
  <c r="F8" i="22"/>
  <c r="F7" i="22"/>
  <c r="F6" i="22"/>
  <c r="F5" i="22"/>
  <c r="F4" i="22"/>
  <c r="G83" i="1"/>
  <c r="G100" i="1"/>
  <c r="F62" i="22" s="1"/>
  <c r="G103" i="1"/>
  <c r="F65" i="22" s="1"/>
  <c r="G102" i="1"/>
  <c r="F64" i="22" s="1"/>
  <c r="G101" i="1"/>
  <c r="F63" i="22" s="1"/>
  <c r="D103" i="1"/>
  <c r="D102" i="1"/>
  <c r="D101" i="1"/>
  <c r="C63" i="22" s="1"/>
  <c r="Q21" i="7" s="1"/>
  <c r="G99" i="1"/>
  <c r="F61" i="22" s="1"/>
  <c r="B115" i="20"/>
  <c r="C99" i="1" s="1"/>
  <c r="G96" i="1"/>
  <c r="F59" i="22" s="1"/>
  <c r="G95" i="1"/>
  <c r="F58" i="22" s="1"/>
  <c r="G94" i="1"/>
  <c r="F57" i="22" s="1"/>
  <c r="B111" i="20"/>
  <c r="C95" i="1" s="1"/>
  <c r="B112" i="20"/>
  <c r="C96" i="1" s="1"/>
  <c r="B113" i="20"/>
  <c r="C102" i="1" s="1"/>
  <c r="B114" i="20"/>
  <c r="C103" i="1" s="1"/>
  <c r="B109" i="20"/>
  <c r="C85" i="1" s="1"/>
  <c r="B110" i="20"/>
  <c r="C86" i="1" s="1"/>
  <c r="B108" i="20"/>
  <c r="B107" i="20"/>
  <c r="E58" i="1"/>
  <c r="B106" i="20"/>
  <c r="B105" i="20"/>
  <c r="I64" i="1" s="1"/>
  <c r="B104" i="20"/>
  <c r="C64" i="1" s="1"/>
  <c r="B103" i="20"/>
  <c r="I62" i="1" s="1"/>
  <c r="B102" i="20"/>
  <c r="C62" i="1" s="1"/>
  <c r="B101" i="20"/>
  <c r="I60" i="1" s="1"/>
  <c r="B100" i="20"/>
  <c r="C60" i="1" s="1"/>
  <c r="E7" i="20"/>
  <c r="D7" i="20"/>
  <c r="C7" i="20"/>
  <c r="B99" i="20"/>
  <c r="B98" i="20"/>
  <c r="C58" i="1" s="1"/>
  <c r="B97" i="20"/>
  <c r="B56" i="1" s="1"/>
  <c r="B96" i="20"/>
  <c r="C108" i="1" s="1"/>
  <c r="B95" i="20"/>
  <c r="C100" i="1" s="1"/>
  <c r="B94" i="20"/>
  <c r="C91" i="1" s="1"/>
  <c r="B93" i="20"/>
  <c r="C105" i="1" s="1"/>
  <c r="B92" i="20"/>
  <c r="C104" i="1" s="1"/>
  <c r="B91" i="20"/>
  <c r="B104" i="1" s="1"/>
  <c r="B90" i="20"/>
  <c r="B94" i="1" s="1"/>
  <c r="B89" i="20"/>
  <c r="B90" i="1" s="1"/>
  <c r="B88" i="20"/>
  <c r="E89" i="1" s="1"/>
  <c r="B87" i="20"/>
  <c r="D89" i="1" s="1"/>
  <c r="B86" i="20"/>
  <c r="C89" i="1" s="1"/>
  <c r="B85" i="20"/>
  <c r="C87" i="1" s="1"/>
  <c r="B84" i="20"/>
  <c r="C84" i="1" s="1"/>
  <c r="B83" i="20"/>
  <c r="C83" i="1" s="1"/>
  <c r="B82" i="20"/>
  <c r="G82" i="1" s="1"/>
  <c r="B81" i="20"/>
  <c r="E82" i="1" s="1"/>
  <c r="B80" i="20"/>
  <c r="D82" i="1" s="1"/>
  <c r="B79" i="20"/>
  <c r="C82" i="1" s="1"/>
  <c r="B78" i="20"/>
  <c r="D81" i="1" s="1"/>
  <c r="B77" i="20"/>
  <c r="B76" i="1" s="1"/>
  <c r="B76" i="20"/>
  <c r="J73" i="1" s="1"/>
  <c r="B75" i="20"/>
  <c r="J71" i="1" s="1"/>
  <c r="B74" i="20"/>
  <c r="J69" i="1" s="1"/>
  <c r="B73" i="20"/>
  <c r="H67" i="1" s="1"/>
  <c r="B72" i="20"/>
  <c r="D73" i="1" s="1"/>
  <c r="B71" i="20"/>
  <c r="D71" i="1" s="1"/>
  <c r="B70" i="20"/>
  <c r="D69" i="1" s="1"/>
  <c r="B69" i="20"/>
  <c r="B67" i="1" s="1"/>
  <c r="B68" i="20"/>
  <c r="P6" i="2" s="1"/>
  <c r="B67" i="20"/>
  <c r="P5" i="2" s="1"/>
  <c r="B66" i="20"/>
  <c r="P4" i="2" s="1"/>
  <c r="B65" i="20"/>
  <c r="P3" i="2" s="1"/>
  <c r="B64" i="20"/>
  <c r="P2" i="2" s="1"/>
  <c r="C53" i="1" s="1"/>
  <c r="B63" i="20"/>
  <c r="O6" i="2" s="1"/>
  <c r="B62" i="20"/>
  <c r="O5" i="2" s="1"/>
  <c r="B61" i="20"/>
  <c r="O4" i="2" s="1"/>
  <c r="B60" i="20"/>
  <c r="O3" i="2" s="1"/>
  <c r="B59" i="20"/>
  <c r="O2" i="2" s="1"/>
  <c r="C51" i="1" s="1"/>
  <c r="B58" i="20"/>
  <c r="C49" i="1" s="1"/>
  <c r="B57" i="20"/>
  <c r="C47" i="1" s="1"/>
  <c r="B56" i="20"/>
  <c r="C45" i="1" s="1"/>
  <c r="B55" i="20"/>
  <c r="B43" i="1" s="1"/>
  <c r="B54" i="20"/>
  <c r="I40" i="1" s="1"/>
  <c r="B53" i="20"/>
  <c r="E40" i="1" s="1"/>
  <c r="B52" i="20"/>
  <c r="C40" i="1" s="1"/>
  <c r="B51" i="20"/>
  <c r="C5" i="16" s="1"/>
  <c r="B50" i="20"/>
  <c r="C4" i="16" s="1"/>
  <c r="B49" i="20"/>
  <c r="C3" i="16" s="1"/>
  <c r="B48" i="20"/>
  <c r="C2" i="16" s="1"/>
  <c r="E38" i="1" s="1"/>
  <c r="B47" i="20"/>
  <c r="C38" i="1" s="1"/>
  <c r="B46" i="20"/>
  <c r="C36" i="1" s="1"/>
  <c r="B45" i="20"/>
  <c r="B34" i="1" s="1"/>
  <c r="B44" i="20"/>
  <c r="J31" i="1" s="1"/>
  <c r="B43" i="20"/>
  <c r="I29" i="1" s="1"/>
  <c r="B42" i="20"/>
  <c r="I27" i="1" s="1"/>
  <c r="B41" i="20"/>
  <c r="I25" i="1" s="1"/>
  <c r="B40" i="20"/>
  <c r="K24" i="1" s="1"/>
  <c r="B39" i="20"/>
  <c r="J24" i="1" s="1"/>
  <c r="B38" i="20"/>
  <c r="I23" i="1" s="1"/>
  <c r="B37" i="20"/>
  <c r="B3" i="15" s="1"/>
  <c r="B36" i="20"/>
  <c r="B2" i="15" s="1"/>
  <c r="B35" i="20"/>
  <c r="C31" i="1" s="1"/>
  <c r="B34" i="20"/>
  <c r="C29" i="1" s="1"/>
  <c r="B33" i="20"/>
  <c r="C27" i="1" s="1"/>
  <c r="B32" i="20"/>
  <c r="B3" i="4" s="1"/>
  <c r="B31" i="20"/>
  <c r="B2" i="4" s="1"/>
  <c r="B30" i="20"/>
  <c r="C25" i="1" s="1"/>
  <c r="B29" i="20"/>
  <c r="B23" i="1" s="1"/>
  <c r="B28" i="20"/>
  <c r="J20" i="1" s="1"/>
  <c r="B27" i="20"/>
  <c r="J18" i="1" s="1"/>
  <c r="B26" i="20"/>
  <c r="J16" i="1" s="1"/>
  <c r="B25" i="20"/>
  <c r="J14" i="1" s="1"/>
  <c r="B24" i="20"/>
  <c r="J12" i="1" s="1"/>
  <c r="B23" i="20"/>
  <c r="J10" i="1" s="1"/>
  <c r="B22" i="20"/>
  <c r="J8" i="1" s="1"/>
  <c r="B21" i="20"/>
  <c r="C20" i="1" s="1"/>
  <c r="B20" i="20"/>
  <c r="B3" i="3" s="1"/>
  <c r="B19" i="20"/>
  <c r="B18" i="20"/>
  <c r="B2" i="3" s="1"/>
  <c r="B17" i="20"/>
  <c r="C16" i="1" s="1"/>
  <c r="B16" i="20"/>
  <c r="C14" i="1" s="1"/>
  <c r="B15" i="20"/>
  <c r="C12" i="1" s="1"/>
  <c r="B14" i="20"/>
  <c r="C10" i="1" s="1"/>
  <c r="B13" i="20"/>
  <c r="C8" i="1" s="1"/>
  <c r="B12" i="20"/>
  <c r="B6" i="1" s="1"/>
  <c r="B11" i="20"/>
  <c r="B4" i="1" s="1"/>
  <c r="B10" i="20"/>
  <c r="D2" i="1" s="1"/>
  <c r="B9" i="20"/>
  <c r="N3" i="2"/>
  <c r="N2" i="2"/>
  <c r="L3" i="2"/>
  <c r="L2" i="2"/>
  <c r="C18" i="1"/>
  <c r="D93" i="1"/>
  <c r="C19" i="22" s="1"/>
  <c r="D21" i="7" s="1"/>
  <c r="G104" i="1"/>
  <c r="J6" i="2"/>
  <c r="I6" i="2"/>
  <c r="H6" i="2"/>
  <c r="G6" i="2"/>
  <c r="R51" i="7"/>
  <c r="AE47" i="7"/>
  <c r="H5" i="2"/>
  <c r="H4" i="2"/>
  <c r="E100" i="1"/>
  <c r="E62" i="22" s="1"/>
  <c r="E84" i="1"/>
  <c r="E27" i="22" s="1"/>
  <c r="H3" i="2"/>
  <c r="H2" i="2"/>
  <c r="G5" i="2"/>
  <c r="G4" i="2"/>
  <c r="E91" i="1"/>
  <c r="G3" i="2"/>
  <c r="G2" i="2"/>
  <c r="J5" i="2"/>
  <c r="J4" i="2"/>
  <c r="J3" i="2"/>
  <c r="J2" i="2"/>
  <c r="I5" i="2"/>
  <c r="I4" i="2"/>
  <c r="I3" i="2"/>
  <c r="I2" i="2"/>
  <c r="E31" i="1"/>
  <c r="E25" i="1"/>
  <c r="BA22" i="7"/>
  <c r="BA21" i="7"/>
  <c r="BA20" i="7"/>
  <c r="BA18" i="7"/>
  <c r="BA17" i="7"/>
  <c r="BA14" i="7"/>
  <c r="BA13" i="7"/>
  <c r="BA7" i="7"/>
  <c r="AV22" i="7"/>
  <c r="AV21" i="7"/>
  <c r="AV20" i="7"/>
  <c r="AV18" i="7"/>
  <c r="AV17" i="7"/>
  <c r="AV14" i="7"/>
  <c r="AV13" i="7"/>
  <c r="AV7" i="7"/>
  <c r="AQ22" i="7"/>
  <c r="AQ21" i="7"/>
  <c r="AQ20" i="7"/>
  <c r="AQ18" i="7"/>
  <c r="AQ17" i="7"/>
  <c r="AQ14" i="7"/>
  <c r="AQ13" i="7"/>
  <c r="AQ7" i="7"/>
  <c r="D5" i="5"/>
  <c r="D4" i="5"/>
  <c r="D3" i="5"/>
  <c r="D2" i="5"/>
  <c r="U14" i="7"/>
  <c r="H14" i="7"/>
  <c r="C3" i="15"/>
  <c r="C30" i="22" s="1"/>
  <c r="E27" i="1"/>
  <c r="K16" i="1"/>
  <c r="T57" i="7"/>
  <c r="AG57" i="7" s="1"/>
  <c r="AF45" i="7"/>
  <c r="AF44" i="7"/>
  <c r="AF43" i="7"/>
  <c r="AF42" i="7"/>
  <c r="AF41" i="7"/>
  <c r="AF39" i="7"/>
  <c r="AF37" i="7"/>
  <c r="AF36" i="7"/>
  <c r="AF35" i="7"/>
  <c r="AF34" i="7"/>
  <c r="S45" i="7"/>
  <c r="S44" i="7"/>
  <c r="S43" i="7"/>
  <c r="S42" i="7"/>
  <c r="S41" i="7"/>
  <c r="S39" i="7"/>
  <c r="S37" i="7"/>
  <c r="S36" i="7"/>
  <c r="S35" i="7"/>
  <c r="S34" i="7"/>
  <c r="F45" i="7"/>
  <c r="F44" i="7"/>
  <c r="F43" i="7"/>
  <c r="F42" i="7"/>
  <c r="F41" i="7"/>
  <c r="F39" i="7"/>
  <c r="F37" i="7"/>
  <c r="F36" i="7"/>
  <c r="F35" i="7"/>
  <c r="F34" i="7"/>
  <c r="G107" i="1"/>
  <c r="G106" i="1"/>
  <c r="G98" i="1"/>
  <c r="F60" i="22" s="1"/>
  <c r="G92" i="1"/>
  <c r="G91" i="1"/>
  <c r="G108" i="1"/>
  <c r="G93" i="1"/>
  <c r="G90" i="1"/>
  <c r="E108" i="1"/>
  <c r="D91" i="22" s="1"/>
  <c r="G91" i="22" s="1"/>
  <c r="E104" i="1"/>
  <c r="D88" i="22" s="1"/>
  <c r="G88" i="22" s="1"/>
  <c r="E93" i="1"/>
  <c r="E90" i="1"/>
  <c r="G87" i="1"/>
  <c r="E73" i="1"/>
  <c r="K31" i="1"/>
  <c r="E69" i="1" s="1"/>
  <c r="AH14" i="7"/>
  <c r="E51" i="7"/>
  <c r="E47" i="7"/>
  <c r="AE51" i="7"/>
  <c r="R49" i="7"/>
  <c r="AE49" i="7"/>
  <c r="E49" i="7"/>
  <c r="R47" i="7"/>
  <c r="E92" i="1"/>
  <c r="E18" i="22" s="1"/>
  <c r="C97" i="1"/>
  <c r="E98" i="1"/>
  <c r="E60" i="22" s="1"/>
  <c r="E99" i="1"/>
  <c r="E83" i="1"/>
  <c r="E6" i="22" s="1"/>
  <c r="H61" i="22"/>
  <c r="E101" i="1"/>
  <c r="K60" i="1"/>
  <c r="E95" i="1"/>
  <c r="E102" i="1"/>
  <c r="D64" i="22" s="1"/>
  <c r="H51" i="22"/>
  <c r="O51" i="22" s="1"/>
  <c r="H64" i="22"/>
  <c r="H58" i="22"/>
  <c r="H54" i="22"/>
  <c r="O54" i="22" s="1"/>
  <c r="H35" i="22"/>
  <c r="H31" i="22"/>
  <c r="H36" i="22"/>
  <c r="E103" i="1"/>
  <c r="H52" i="22"/>
  <c r="I52" i="22" s="1"/>
  <c r="E96" i="1"/>
  <c r="H55" i="22"/>
  <c r="U55" i="22" s="1"/>
  <c r="E106" i="1"/>
  <c r="E89" i="22" s="1"/>
  <c r="G89" i="22" s="1"/>
  <c r="C75" i="22" l="1"/>
  <c r="AD7" i="7" s="1"/>
  <c r="AH7" i="7" s="1"/>
  <c r="C101" i="1"/>
  <c r="C93" i="1"/>
  <c r="G89" i="1"/>
  <c r="C107" i="1"/>
  <c r="C98" i="1"/>
  <c r="C92" i="1"/>
  <c r="C106" i="1"/>
  <c r="C90" i="1"/>
  <c r="C94" i="1"/>
  <c r="D12" i="2"/>
  <c r="C12" i="2" s="1"/>
  <c r="C65" i="22"/>
  <c r="D13" i="2"/>
  <c r="C13" i="2" s="1"/>
  <c r="G18" i="22"/>
  <c r="I18" i="22" s="1"/>
  <c r="C64" i="22"/>
  <c r="E11" i="2"/>
  <c r="D108" i="1" s="1"/>
  <c r="C91" i="22" s="1"/>
  <c r="E107" i="1"/>
  <c r="D16" i="22"/>
  <c r="G16" i="22" s="1"/>
  <c r="I16" i="22" s="1"/>
  <c r="G56" i="22"/>
  <c r="I56" i="22" s="1"/>
  <c r="D19" i="22"/>
  <c r="G19" i="22" s="1"/>
  <c r="I19" i="22" s="1"/>
  <c r="E10" i="2"/>
  <c r="D91" i="1" s="1"/>
  <c r="C17" i="22" s="1"/>
  <c r="D83" i="1"/>
  <c r="D5" i="22" s="1"/>
  <c r="D84" i="1"/>
  <c r="D50" i="22" s="1"/>
  <c r="D87" i="1"/>
  <c r="D77" i="22" s="1"/>
  <c r="G69" i="22"/>
  <c r="I69" i="22" s="1"/>
  <c r="C28" i="22"/>
  <c r="H39" i="22" s="1"/>
  <c r="H10" i="22"/>
  <c r="H80" i="22"/>
  <c r="Q80" i="22" s="1"/>
  <c r="P33" i="22"/>
  <c r="G95" i="22"/>
  <c r="I95" i="22" s="1"/>
  <c r="L90" i="22"/>
  <c r="G68" i="22"/>
  <c r="I68" i="22" s="1"/>
  <c r="P75" i="22"/>
  <c r="D11" i="7"/>
  <c r="I15" i="22"/>
  <c r="I20" i="22"/>
  <c r="I93" i="22"/>
  <c r="H21" i="7"/>
  <c r="G22" i="22"/>
  <c r="I22" i="22" s="1"/>
  <c r="H32" i="22"/>
  <c r="H65" i="22"/>
  <c r="K65" i="22" s="1"/>
  <c r="H59" i="22"/>
  <c r="K64" i="22"/>
  <c r="G84" i="1"/>
  <c r="F50" i="22" s="1"/>
  <c r="D85" i="1"/>
  <c r="D48" i="22" s="1"/>
  <c r="E86" i="1"/>
  <c r="E29" i="22" s="1"/>
  <c r="G85" i="1"/>
  <c r="F48" i="22" s="1"/>
  <c r="E85" i="1"/>
  <c r="E51" i="22" s="1"/>
  <c r="K62" i="1"/>
  <c r="C3" i="22"/>
  <c r="C4" i="22" s="1"/>
  <c r="I91" i="22"/>
  <c r="I85" i="22"/>
  <c r="P3" i="22"/>
  <c r="U86" i="22"/>
  <c r="I88" i="22"/>
  <c r="K58" i="22"/>
  <c r="U53" i="22"/>
  <c r="M17" i="22"/>
  <c r="Q8" i="7"/>
  <c r="D6" i="7"/>
  <c r="H84" i="22"/>
  <c r="S84" i="22" s="1"/>
  <c r="AD8" i="7"/>
  <c r="T87" i="22"/>
  <c r="AD43" i="7" s="1"/>
  <c r="K88" i="22"/>
  <c r="P76" i="22"/>
  <c r="G21" i="22"/>
  <c r="I21" i="22" s="1"/>
  <c r="E86" i="22"/>
  <c r="E80" i="22"/>
  <c r="E82" i="22"/>
  <c r="N17" i="22"/>
  <c r="D37" i="7" s="1"/>
  <c r="E76" i="22"/>
  <c r="Q7" i="7"/>
  <c r="C31" i="22"/>
  <c r="C32" i="22" s="1"/>
  <c r="C33" i="22" s="1"/>
  <c r="H2" i="22"/>
  <c r="H74" i="22"/>
  <c r="D8" i="7"/>
  <c r="U14" i="22"/>
  <c r="H46" i="22"/>
  <c r="H38" i="22"/>
  <c r="H45" i="22"/>
  <c r="AD6" i="7"/>
  <c r="H83" i="22"/>
  <c r="R83" i="22" s="1"/>
  <c r="AD41" i="7" s="1"/>
  <c r="H7" i="22"/>
  <c r="H27" i="22"/>
  <c r="H79" i="22"/>
  <c r="H8" i="22"/>
  <c r="Q6" i="7"/>
  <c r="H82" i="22"/>
  <c r="H42" i="22"/>
  <c r="H81" i="22"/>
  <c r="I81" i="22" s="1"/>
  <c r="H9" i="22"/>
  <c r="H11" i="22"/>
  <c r="I11" i="22" s="1"/>
  <c r="H41" i="22"/>
  <c r="H47" i="22"/>
  <c r="O14" i="22"/>
  <c r="G6" i="22"/>
  <c r="I6" i="22" s="1"/>
  <c r="M18" i="22"/>
  <c r="L17" i="22"/>
  <c r="L18" i="22"/>
  <c r="K19" i="22"/>
  <c r="I54" i="22"/>
  <c r="D58" i="22"/>
  <c r="E4" i="22"/>
  <c r="E37" i="22"/>
  <c r="E50" i="22"/>
  <c r="L89" i="22"/>
  <c r="I87" i="22"/>
  <c r="K63" i="22"/>
  <c r="M7" i="23"/>
  <c r="P2" i="23" s="1"/>
  <c r="Q2" i="23" s="1"/>
  <c r="R2" i="23" s="1"/>
  <c r="E84" i="22"/>
  <c r="E13" i="22"/>
  <c r="E47" i="22"/>
  <c r="G64" i="22"/>
  <c r="I64" i="22" s="1"/>
  <c r="E2" i="22"/>
  <c r="P4" i="22"/>
  <c r="I13" i="22"/>
  <c r="O55" i="22"/>
  <c r="I55" i="22"/>
  <c r="O52" i="22"/>
  <c r="E12" i="22"/>
  <c r="E45" i="22"/>
  <c r="E61" i="22"/>
  <c r="G61" i="22" s="1"/>
  <c r="I61" i="22" s="1"/>
  <c r="E33" i="22"/>
  <c r="M89" i="22"/>
  <c r="N90" i="22"/>
  <c r="AD37" i="7" s="1"/>
  <c r="M90" i="22"/>
  <c r="G94" i="22"/>
  <c r="I94" i="22" s="1"/>
  <c r="I89" i="22"/>
  <c r="M60" i="22"/>
  <c r="N60" i="22"/>
  <c r="L60" i="22"/>
  <c r="U54" i="22"/>
  <c r="U43" i="7"/>
  <c r="K57" i="22"/>
  <c r="L62" i="22"/>
  <c r="M62" i="22"/>
  <c r="N62" i="22"/>
  <c r="G62" i="22"/>
  <c r="I62" i="22" s="1"/>
  <c r="O53" i="22"/>
  <c r="G60" i="22"/>
  <c r="I60" i="22" s="1"/>
  <c r="O50" i="22"/>
  <c r="G57" i="22"/>
  <c r="I57" i="22" s="1"/>
  <c r="D63" i="22"/>
  <c r="G63" i="22" s="1"/>
  <c r="I63" i="22" s="1"/>
  <c r="D65" i="22"/>
  <c r="G65" i="22" s="1"/>
  <c r="I51" i="22"/>
  <c r="N61" i="22"/>
  <c r="L61" i="22"/>
  <c r="F67" i="22"/>
  <c r="M61" i="22"/>
  <c r="E8" i="22"/>
  <c r="E14" i="22"/>
  <c r="L7" i="23"/>
  <c r="T15" i="22"/>
  <c r="D43" i="7" s="1"/>
  <c r="E85" i="22"/>
  <c r="E17" i="22"/>
  <c r="G17" i="22" s="1"/>
  <c r="I17" i="22" s="1"/>
  <c r="E10" i="22"/>
  <c r="E78" i="22"/>
  <c r="O13" i="22"/>
  <c r="K16" i="22"/>
  <c r="AD9" i="7"/>
  <c r="C8" i="22"/>
  <c r="U21" i="7"/>
  <c r="E41" i="22"/>
  <c r="E53" i="22"/>
  <c r="AH20" i="7"/>
  <c r="H9" i="7"/>
  <c r="Q9" i="7"/>
  <c r="C39" i="22"/>
  <c r="C40" i="22" s="1"/>
  <c r="C41" i="22" s="1"/>
  <c r="U20" i="7"/>
  <c r="D59" i="22"/>
  <c r="H20" i="7"/>
  <c r="O86" i="22"/>
  <c r="H12" i="22"/>
  <c r="S12" i="22" s="1"/>
  <c r="C76" i="22" l="1"/>
  <c r="E27" i="7"/>
  <c r="I27" i="7" s="1"/>
  <c r="E97" i="1"/>
  <c r="E13" i="2"/>
  <c r="D97" i="1" s="1"/>
  <c r="E28" i="7"/>
  <c r="K28" i="7" s="1"/>
  <c r="E29" i="7"/>
  <c r="K29" i="7" s="1"/>
  <c r="D2" i="22"/>
  <c r="D3" i="22"/>
  <c r="G3" i="22" s="1"/>
  <c r="I3" i="22" s="1"/>
  <c r="D13" i="22"/>
  <c r="D106" i="1"/>
  <c r="C89" i="22" s="1"/>
  <c r="E90" i="22"/>
  <c r="G90" i="22" s="1"/>
  <c r="I90" i="22" s="1"/>
  <c r="E26" i="7"/>
  <c r="K26" i="7" s="1"/>
  <c r="AD39" i="7"/>
  <c r="AH39" i="7" s="1"/>
  <c r="AD35" i="7"/>
  <c r="D47" i="22"/>
  <c r="D30" i="22"/>
  <c r="E25" i="7"/>
  <c r="K25" i="7" s="1"/>
  <c r="D27" i="22"/>
  <c r="D74" i="22"/>
  <c r="G74" i="22" s="1"/>
  <c r="I74" i="22" s="1"/>
  <c r="D53" i="22"/>
  <c r="D98" i="1"/>
  <c r="C60" i="22" s="1"/>
  <c r="H9" i="23" s="1"/>
  <c r="D34" i="22"/>
  <c r="D42" i="22"/>
  <c r="D75" i="22"/>
  <c r="D79" i="22"/>
  <c r="D85" i="22"/>
  <c r="D84" i="22"/>
  <c r="G84" i="22" s="1"/>
  <c r="I84" i="22" s="1"/>
  <c r="D81" i="22"/>
  <c r="D86" i="22"/>
  <c r="G86" i="22" s="1"/>
  <c r="D38" i="22"/>
  <c r="D12" i="22"/>
  <c r="G12" i="22" s="1"/>
  <c r="I12" i="22" s="1"/>
  <c r="D9" i="22"/>
  <c r="D14" i="22"/>
  <c r="G14" i="22" s="1"/>
  <c r="D7" i="22"/>
  <c r="H43" i="22"/>
  <c r="H48" i="22"/>
  <c r="S48" i="22" s="1"/>
  <c r="C29" i="22"/>
  <c r="H44" i="22" s="1"/>
  <c r="H28" i="22"/>
  <c r="AH18" i="7"/>
  <c r="U18" i="7"/>
  <c r="H17" i="7"/>
  <c r="U19" i="7"/>
  <c r="H18" i="7"/>
  <c r="AH21" i="7"/>
  <c r="U6" i="7"/>
  <c r="H6" i="7"/>
  <c r="H22" i="7"/>
  <c r="U8" i="7"/>
  <c r="AH23" i="7"/>
  <c r="H23" i="7"/>
  <c r="U23" i="7"/>
  <c r="K59" i="22"/>
  <c r="D35" i="22"/>
  <c r="E55" i="22"/>
  <c r="D28" i="22"/>
  <c r="F51" i="22"/>
  <c r="F54" i="22"/>
  <c r="F28" i="22"/>
  <c r="E48" i="22"/>
  <c r="I65" i="22"/>
  <c r="E28" i="22"/>
  <c r="F35" i="22"/>
  <c r="F43" i="22"/>
  <c r="D51" i="22"/>
  <c r="D54" i="22"/>
  <c r="F31" i="22"/>
  <c r="D43" i="22"/>
  <c r="E52" i="22"/>
  <c r="F39" i="22"/>
  <c r="Q39" i="22" s="1"/>
  <c r="E49" i="22"/>
  <c r="D39" i="22"/>
  <c r="E54" i="22"/>
  <c r="F30" i="22"/>
  <c r="F34" i="22"/>
  <c r="D31" i="22"/>
  <c r="F38" i="22"/>
  <c r="F53" i="22"/>
  <c r="F42" i="22"/>
  <c r="F47" i="22"/>
  <c r="S47" i="22" s="1"/>
  <c r="F27" i="22"/>
  <c r="U27" i="22" s="1"/>
  <c r="K64" i="1"/>
  <c r="D86" i="1"/>
  <c r="G86" i="1"/>
  <c r="Q38" i="22"/>
  <c r="D36" i="7"/>
  <c r="E15" i="7"/>
  <c r="D7" i="7"/>
  <c r="Q8" i="22"/>
  <c r="Q79" i="22"/>
  <c r="AD40" i="7" s="1"/>
  <c r="AH40" i="7" s="1"/>
  <c r="Q41" i="22"/>
  <c r="Q7" i="22"/>
  <c r="AD36" i="7"/>
  <c r="AH36" i="7" s="1"/>
  <c r="G80" i="22"/>
  <c r="I80" i="22" s="1"/>
  <c r="G58" i="22"/>
  <c r="I58" i="22" s="1"/>
  <c r="B8" i="23"/>
  <c r="G59" i="22"/>
  <c r="I59" i="22" s="1"/>
  <c r="B9" i="23"/>
  <c r="G4" i="22"/>
  <c r="I4" i="22" s="1"/>
  <c r="G37" i="22"/>
  <c r="I37" i="22" s="1"/>
  <c r="G82" i="22"/>
  <c r="I82" i="22" s="1"/>
  <c r="G76" i="22"/>
  <c r="I76" i="22" s="1"/>
  <c r="D39" i="7"/>
  <c r="AH43" i="7"/>
  <c r="O2" i="22"/>
  <c r="D38" i="7" s="1"/>
  <c r="Q35" i="7"/>
  <c r="G50" i="22"/>
  <c r="Q37" i="7"/>
  <c r="D35" i="7"/>
  <c r="H35" i="7" s="1"/>
  <c r="U2" i="22"/>
  <c r="D44" i="7" s="1"/>
  <c r="H44" i="7" s="1"/>
  <c r="H8" i="7"/>
  <c r="U7" i="7"/>
  <c r="U74" i="22"/>
  <c r="AD44" i="7" s="1"/>
  <c r="O74" i="22"/>
  <c r="AD38" i="7" s="1"/>
  <c r="I46" i="22"/>
  <c r="R46" i="22"/>
  <c r="Q41" i="7" s="1"/>
  <c r="U41" i="7" s="1"/>
  <c r="AD42" i="7"/>
  <c r="AH41" i="7"/>
  <c r="I9" i="22"/>
  <c r="D42" i="7"/>
  <c r="AH6" i="7"/>
  <c r="R11" i="22"/>
  <c r="D41" i="7" s="1"/>
  <c r="I83" i="22"/>
  <c r="E20" i="7"/>
  <c r="K20" i="7" s="1"/>
  <c r="D34" i="7"/>
  <c r="G78" i="22"/>
  <c r="I78" i="22" s="1"/>
  <c r="H37" i="7"/>
  <c r="Q36" i="7"/>
  <c r="G33" i="22"/>
  <c r="I33" i="22" s="1"/>
  <c r="G45" i="22"/>
  <c r="I45" i="22" s="1"/>
  <c r="G8" i="22"/>
  <c r="I8" i="22" s="1"/>
  <c r="AH37" i="7"/>
  <c r="H43" i="7"/>
  <c r="G67" i="22"/>
  <c r="I67" i="22" s="1"/>
  <c r="H7" i="23"/>
  <c r="C9" i="23"/>
  <c r="C7" i="23"/>
  <c r="H8" i="23"/>
  <c r="J8" i="23" s="1"/>
  <c r="G10" i="22"/>
  <c r="I10" i="22" s="1"/>
  <c r="B6" i="23"/>
  <c r="E17" i="7"/>
  <c r="AH9" i="7"/>
  <c r="G41" i="22"/>
  <c r="I41" i="22" s="1"/>
  <c r="V2" i="22"/>
  <c r="D45" i="7" s="1"/>
  <c r="G5" i="22"/>
  <c r="I5" i="22" s="1"/>
  <c r="E8" i="7" s="1"/>
  <c r="G77" i="22"/>
  <c r="I77" i="22" s="1"/>
  <c r="U9" i="7"/>
  <c r="E13" i="7"/>
  <c r="E21" i="7"/>
  <c r="E14" i="7"/>
  <c r="E11" i="7"/>
  <c r="E18" i="7"/>
  <c r="E22" i="7"/>
  <c r="E24" i="7"/>
  <c r="E23" i="7"/>
  <c r="E16" i="7"/>
  <c r="S2" i="23"/>
  <c r="K27" i="7" l="1"/>
  <c r="E12" i="2"/>
  <c r="G13" i="22"/>
  <c r="C66" i="22"/>
  <c r="Q22" i="7" s="1"/>
  <c r="U22" i="7" s="1"/>
  <c r="D66" i="22"/>
  <c r="H66" i="22" s="1"/>
  <c r="C6" i="23"/>
  <c r="E6" i="23" s="1"/>
  <c r="H6" i="23"/>
  <c r="J6" i="23" s="1"/>
  <c r="G97" i="1"/>
  <c r="E105" i="1"/>
  <c r="G105" i="1"/>
  <c r="O28" i="22"/>
  <c r="D105" i="1"/>
  <c r="I29" i="7"/>
  <c r="I28" i="7"/>
  <c r="H29" i="22"/>
  <c r="G2" i="22"/>
  <c r="I2" i="22" s="1"/>
  <c r="E6" i="7" s="1"/>
  <c r="K6" i="7" s="1"/>
  <c r="I26" i="7"/>
  <c r="AH35" i="7"/>
  <c r="H49" i="22"/>
  <c r="H40" i="22"/>
  <c r="I25" i="7"/>
  <c r="G53" i="22"/>
  <c r="G42" i="22"/>
  <c r="I42" i="22" s="1"/>
  <c r="G38" i="22"/>
  <c r="I38" i="22" s="1"/>
  <c r="G9" i="22"/>
  <c r="G85" i="22"/>
  <c r="G81" i="22"/>
  <c r="G79" i="22"/>
  <c r="I79" i="22" s="1"/>
  <c r="G75" i="22"/>
  <c r="I75" i="22" s="1"/>
  <c r="G7" i="22"/>
  <c r="I7" i="22" s="1"/>
  <c r="U28" i="22"/>
  <c r="G48" i="22"/>
  <c r="I48" i="22" s="1"/>
  <c r="I9" i="23"/>
  <c r="J9" i="23"/>
  <c r="C8" i="23"/>
  <c r="D8" i="23" s="1"/>
  <c r="G8" i="23" s="1"/>
  <c r="AH8" i="7"/>
  <c r="AH13" i="7"/>
  <c r="H13" i="7"/>
  <c r="K13" i="7" s="1"/>
  <c r="U13" i="7"/>
  <c r="AH10" i="7"/>
  <c r="U10" i="7"/>
  <c r="H10" i="7"/>
  <c r="U15" i="7"/>
  <c r="AH15" i="7"/>
  <c r="H15" i="7"/>
  <c r="K15" i="7" s="1"/>
  <c r="U16" i="7"/>
  <c r="H16" i="7"/>
  <c r="K16" i="7" s="1"/>
  <c r="AH16" i="7"/>
  <c r="AH11" i="7"/>
  <c r="U11" i="7"/>
  <c r="H11" i="7"/>
  <c r="K11" i="7" s="1"/>
  <c r="AH24" i="7"/>
  <c r="U24" i="7"/>
  <c r="H24" i="7"/>
  <c r="K24" i="7" s="1"/>
  <c r="AH12" i="7"/>
  <c r="U12" i="7"/>
  <c r="H12" i="7"/>
  <c r="G27" i="22"/>
  <c r="I27" i="22" s="1"/>
  <c r="G31" i="22"/>
  <c r="I31" i="22" s="1"/>
  <c r="G34" i="22"/>
  <c r="I34" i="22" s="1"/>
  <c r="G51" i="22"/>
  <c r="G28" i="22"/>
  <c r="I28" i="22" s="1"/>
  <c r="P30" i="22"/>
  <c r="G54" i="22"/>
  <c r="G35" i="22"/>
  <c r="I35" i="22" s="1"/>
  <c r="G30" i="22"/>
  <c r="I30" i="22" s="1"/>
  <c r="G43" i="22"/>
  <c r="I43" i="22" s="1"/>
  <c r="P31" i="22"/>
  <c r="G39" i="22"/>
  <c r="I39" i="22" s="1"/>
  <c r="O27" i="22"/>
  <c r="G47" i="22"/>
  <c r="I47" i="22" s="1"/>
  <c r="F55" i="22"/>
  <c r="F36" i="22"/>
  <c r="F40" i="22"/>
  <c r="F29" i="22"/>
  <c r="F44" i="22"/>
  <c r="F52" i="22"/>
  <c r="F49" i="22"/>
  <c r="F32" i="22"/>
  <c r="D49" i="22"/>
  <c r="D40" i="22"/>
  <c r="D29" i="22"/>
  <c r="D36" i="22"/>
  <c r="D32" i="22"/>
  <c r="D44" i="22"/>
  <c r="D52" i="22"/>
  <c r="D55" i="22"/>
  <c r="D7" i="23"/>
  <c r="G7" i="23" s="1"/>
  <c r="H36" i="7"/>
  <c r="I15" i="7"/>
  <c r="E7" i="7"/>
  <c r="I7" i="7" s="1"/>
  <c r="H7" i="7"/>
  <c r="M9" i="23"/>
  <c r="P4" i="23" s="1"/>
  <c r="L9" i="23"/>
  <c r="M8" i="23"/>
  <c r="P3" i="23" s="1"/>
  <c r="L8" i="23"/>
  <c r="H39" i="7"/>
  <c r="U35" i="7"/>
  <c r="H38" i="7"/>
  <c r="D40" i="7"/>
  <c r="U37" i="7"/>
  <c r="E10" i="7"/>
  <c r="AH44" i="7"/>
  <c r="AH38" i="7"/>
  <c r="AH42" i="7"/>
  <c r="H42" i="7"/>
  <c r="J20" i="7"/>
  <c r="AN20" i="7" s="1"/>
  <c r="AO20" i="7" s="1"/>
  <c r="I20" i="7"/>
  <c r="AP20" i="7"/>
  <c r="H41" i="7"/>
  <c r="H34" i="7"/>
  <c r="E7" i="23"/>
  <c r="U36" i="7"/>
  <c r="I8" i="23"/>
  <c r="D9" i="23"/>
  <c r="G9" i="23" s="1"/>
  <c r="E9" i="23"/>
  <c r="J7" i="23"/>
  <c r="I7" i="23"/>
  <c r="K7" i="23" s="1"/>
  <c r="L6" i="23"/>
  <c r="M6" i="23"/>
  <c r="P1" i="23" s="1"/>
  <c r="I17" i="7"/>
  <c r="K17" i="7"/>
  <c r="AP17" i="7"/>
  <c r="J17" i="7"/>
  <c r="AN17" i="7" s="1"/>
  <c r="AO17" i="7" s="1"/>
  <c r="I24" i="7"/>
  <c r="AP18" i="7"/>
  <c r="J18" i="7"/>
  <c r="AN18" i="7" s="1"/>
  <c r="AO18" i="7" s="1"/>
  <c r="I18" i="7"/>
  <c r="K18" i="7"/>
  <c r="K22" i="7"/>
  <c r="J22" i="7"/>
  <c r="AN22" i="7" s="1"/>
  <c r="AO22" i="7" s="1"/>
  <c r="I22" i="7"/>
  <c r="AP22" i="7"/>
  <c r="I11" i="7"/>
  <c r="K14" i="7"/>
  <c r="J14" i="7"/>
  <c r="I14" i="7"/>
  <c r="J21" i="7"/>
  <c r="AN21" i="7" s="1"/>
  <c r="AO21" i="7" s="1"/>
  <c r="K21" i="7"/>
  <c r="AP21" i="7"/>
  <c r="I21" i="7"/>
  <c r="J13" i="7"/>
  <c r="I13" i="7"/>
  <c r="H45" i="7"/>
  <c r="E12" i="7"/>
  <c r="I16" i="7"/>
  <c r="T2" i="23"/>
  <c r="K23" i="7"/>
  <c r="I23" i="7"/>
  <c r="K8" i="7"/>
  <c r="I8" i="7"/>
  <c r="D94" i="1" l="1"/>
  <c r="D96" i="1"/>
  <c r="D95" i="1"/>
  <c r="D104" i="1"/>
  <c r="G66" i="22"/>
  <c r="I66" i="22" s="1"/>
  <c r="K66" i="22"/>
  <c r="Q34" i="7" s="1"/>
  <c r="I6" i="23"/>
  <c r="K6" i="23" s="1"/>
  <c r="C92" i="22"/>
  <c r="AD22" i="7" s="1"/>
  <c r="AH22" i="7" s="1"/>
  <c r="D6" i="23"/>
  <c r="G6" i="23" s="1"/>
  <c r="D92" i="22"/>
  <c r="O29" i="22"/>
  <c r="Q38" i="7" s="1"/>
  <c r="I6" i="7"/>
  <c r="V27" i="22"/>
  <c r="Q45" i="7" s="1"/>
  <c r="U45" i="7" s="1"/>
  <c r="Q40" i="22"/>
  <c r="Q40" i="7" s="1"/>
  <c r="U40" i="7" s="1"/>
  <c r="S49" i="22"/>
  <c r="Q42" i="7" s="1"/>
  <c r="U42" i="7" s="1"/>
  <c r="E9" i="7"/>
  <c r="K9" i="7" s="1"/>
  <c r="E8" i="23"/>
  <c r="N8" i="23" s="1"/>
  <c r="P8" i="23" s="1"/>
  <c r="K10" i="7"/>
  <c r="G55" i="22"/>
  <c r="U29" i="22"/>
  <c r="Q44" i="7" s="1"/>
  <c r="U44" i="7" s="1"/>
  <c r="G49" i="22"/>
  <c r="I49" i="22" s="1"/>
  <c r="P32" i="22"/>
  <c r="Q39" i="7" s="1"/>
  <c r="G52" i="22"/>
  <c r="G44" i="22"/>
  <c r="I44" i="22" s="1"/>
  <c r="G32" i="22"/>
  <c r="I32" i="22" s="1"/>
  <c r="G36" i="22"/>
  <c r="I36" i="22" s="1"/>
  <c r="G29" i="22"/>
  <c r="I29" i="22" s="1"/>
  <c r="G40" i="22"/>
  <c r="I40" i="22" s="1"/>
  <c r="AP7" i="7"/>
  <c r="K7" i="7"/>
  <c r="J7" i="7"/>
  <c r="AN7" i="7" s="1"/>
  <c r="AO7" i="7" s="1"/>
  <c r="N9" i="23"/>
  <c r="P9" i="23" s="1"/>
  <c r="K8" i="23"/>
  <c r="Q3" i="23"/>
  <c r="K9" i="23"/>
  <c r="Q4" i="23"/>
  <c r="H40" i="7"/>
  <c r="H51" i="7" s="1"/>
  <c r="N7" i="23"/>
  <c r="P7" i="23" s="1"/>
  <c r="Q7" i="23" s="1"/>
  <c r="R7" i="23" s="1"/>
  <c r="S7" i="23" s="1"/>
  <c r="T7" i="23" s="1"/>
  <c r="I10" i="7"/>
  <c r="AR20" i="7"/>
  <c r="AR17" i="7"/>
  <c r="AR18" i="7"/>
  <c r="N6" i="23"/>
  <c r="Q1" i="23"/>
  <c r="AR22" i="7"/>
  <c r="AR21" i="7"/>
  <c r="AN14" i="7"/>
  <c r="AO14" i="7" s="1"/>
  <c r="AP14" i="7"/>
  <c r="AP13" i="7"/>
  <c r="AN13" i="7"/>
  <c r="AO13" i="7" s="1"/>
  <c r="K12" i="7"/>
  <c r="I12" i="7"/>
  <c r="U2" i="23"/>
  <c r="C88" i="22" l="1"/>
  <c r="AE21" i="7" s="1"/>
  <c r="AJ21" i="7" s="1"/>
  <c r="AX21" i="7" s="1"/>
  <c r="AY21" i="7" s="1"/>
  <c r="C58" i="22"/>
  <c r="C59" i="22"/>
  <c r="R12" i="7" s="1"/>
  <c r="X12" i="7" s="1"/>
  <c r="C57" i="22"/>
  <c r="P6" i="23"/>
  <c r="U34" i="7"/>
  <c r="AE25" i="7"/>
  <c r="AK25" i="7" s="1"/>
  <c r="AE20" i="7"/>
  <c r="AZ20" i="7" s="1"/>
  <c r="AE14" i="7"/>
  <c r="AJ14" i="7" s="1"/>
  <c r="AX14" i="7" s="1"/>
  <c r="AY14" i="7" s="1"/>
  <c r="AE13" i="7"/>
  <c r="AI13" i="7" s="1"/>
  <c r="AE23" i="7"/>
  <c r="AK23" i="7" s="1"/>
  <c r="G92" i="22"/>
  <c r="H92" i="22"/>
  <c r="I9" i="7"/>
  <c r="K53" i="7" s="1"/>
  <c r="U38" i="7"/>
  <c r="K31" i="7"/>
  <c r="H49" i="7"/>
  <c r="K49" i="7" s="1"/>
  <c r="U39" i="7"/>
  <c r="AR7" i="7"/>
  <c r="J51" i="7"/>
  <c r="O7" i="23"/>
  <c r="Q8" i="23"/>
  <c r="O8" i="23"/>
  <c r="O9" i="23"/>
  <c r="Q9" i="23"/>
  <c r="R4" i="23"/>
  <c r="R3" i="23"/>
  <c r="H47" i="7"/>
  <c r="K47" i="7" s="1"/>
  <c r="O6" i="23"/>
  <c r="R1" i="23"/>
  <c r="AR13" i="7"/>
  <c r="V2" i="23"/>
  <c r="U7" i="23"/>
  <c r="AR14" i="7"/>
  <c r="AE9" i="7" l="1"/>
  <c r="AI9" i="7" s="1"/>
  <c r="AE29" i="7"/>
  <c r="AK29" i="7" s="1"/>
  <c r="AE10" i="7"/>
  <c r="AK10" i="7" s="1"/>
  <c r="AE27" i="7"/>
  <c r="AI27" i="7" s="1"/>
  <c r="AE24" i="7"/>
  <c r="AK24" i="7" s="1"/>
  <c r="AE28" i="7"/>
  <c r="AK28" i="7" s="1"/>
  <c r="AE26" i="7"/>
  <c r="AI26" i="7" s="1"/>
  <c r="AE18" i="7"/>
  <c r="AI18" i="7" s="1"/>
  <c r="R6" i="7"/>
  <c r="X6" i="7" s="1"/>
  <c r="Q6" i="23"/>
  <c r="R6" i="23" s="1"/>
  <c r="R14" i="7"/>
  <c r="R26" i="7"/>
  <c r="R16" i="7"/>
  <c r="Q17" i="7"/>
  <c r="R19" i="7"/>
  <c r="R21" i="7"/>
  <c r="R23" i="7"/>
  <c r="R29" i="7"/>
  <c r="R15" i="7"/>
  <c r="R28" i="7"/>
  <c r="R11" i="7"/>
  <c r="R27" i="7"/>
  <c r="R18" i="7"/>
  <c r="R24" i="7"/>
  <c r="R25" i="7"/>
  <c r="R20" i="7"/>
  <c r="R13" i="7"/>
  <c r="R7" i="7"/>
  <c r="AD17" i="7"/>
  <c r="AE6" i="7"/>
  <c r="AE15" i="7"/>
  <c r="AE16" i="7"/>
  <c r="AE12" i="7"/>
  <c r="AE11" i="7"/>
  <c r="AE7" i="7"/>
  <c r="AE8" i="7"/>
  <c r="R9" i="7"/>
  <c r="X9" i="7" s="1"/>
  <c r="R10" i="7"/>
  <c r="R22" i="7"/>
  <c r="R8" i="7"/>
  <c r="AI24" i="7"/>
  <c r="AI25" i="7"/>
  <c r="AI10" i="7"/>
  <c r="AK20" i="7"/>
  <c r="AI20" i="7"/>
  <c r="AZ14" i="7"/>
  <c r="BB14" i="7" s="1"/>
  <c r="AK14" i="7"/>
  <c r="AI14" i="7"/>
  <c r="AJ20" i="7"/>
  <c r="AX20" i="7" s="1"/>
  <c r="AY20" i="7" s="1"/>
  <c r="BB20" i="7" s="1"/>
  <c r="AK21" i="7"/>
  <c r="AZ21" i="7"/>
  <c r="BB21" i="7" s="1"/>
  <c r="AI21" i="7"/>
  <c r="AK13" i="7"/>
  <c r="AJ13" i="7"/>
  <c r="AX13" i="7" s="1"/>
  <c r="AY13" i="7" s="1"/>
  <c r="AI23" i="7"/>
  <c r="V74" i="22"/>
  <c r="AD45" i="7" s="1"/>
  <c r="I92" i="22"/>
  <c r="K92" i="22"/>
  <c r="AD34" i="7" s="1"/>
  <c r="U51" i="7"/>
  <c r="U49" i="7"/>
  <c r="X49" i="7" s="1"/>
  <c r="V12" i="7"/>
  <c r="U47" i="7"/>
  <c r="K51" i="7"/>
  <c r="R9" i="23"/>
  <c r="S3" i="23"/>
  <c r="R8" i="23"/>
  <c r="S4" i="23"/>
  <c r="S1" i="23"/>
  <c r="AR31" i="7"/>
  <c r="W2" i="23"/>
  <c r="V7" i="23"/>
  <c r="AI29" i="7" l="1"/>
  <c r="AI28" i="7"/>
  <c r="AK9" i="7"/>
  <c r="AZ18" i="7"/>
  <c r="AK27" i="7"/>
  <c r="AK26" i="7"/>
  <c r="AK18" i="7"/>
  <c r="AJ18" i="7"/>
  <c r="AX18" i="7" s="1"/>
  <c r="AY18" i="7" s="1"/>
  <c r="V6" i="7"/>
  <c r="V9" i="7"/>
  <c r="X11" i="7"/>
  <c r="V11" i="7"/>
  <c r="AI16" i="7"/>
  <c r="AK16" i="7"/>
  <c r="AK15" i="7"/>
  <c r="AI15" i="7"/>
  <c r="X28" i="7"/>
  <c r="V28" i="7"/>
  <c r="AK6" i="7"/>
  <c r="AI6" i="7"/>
  <c r="V15" i="7"/>
  <c r="X15" i="7"/>
  <c r="W22" i="7"/>
  <c r="AS22" i="7" s="1"/>
  <c r="AT22" i="7" s="1"/>
  <c r="AU22" i="7"/>
  <c r="X22" i="7"/>
  <c r="V22" i="7"/>
  <c r="AU7" i="7"/>
  <c r="X7" i="7"/>
  <c r="W7" i="7"/>
  <c r="AS7" i="7" s="1"/>
  <c r="AT7" i="7" s="1"/>
  <c r="V7" i="7"/>
  <c r="AU21" i="7"/>
  <c r="V21" i="7"/>
  <c r="X21" i="7"/>
  <c r="W21" i="7"/>
  <c r="AS21" i="7" s="1"/>
  <c r="AT21" i="7" s="1"/>
  <c r="X10" i="7"/>
  <c r="V10" i="7"/>
  <c r="V13" i="7"/>
  <c r="X13" i="7"/>
  <c r="W13" i="7"/>
  <c r="X19" i="7"/>
  <c r="W19" i="7"/>
  <c r="AS19" i="7" s="1"/>
  <c r="AT19" i="7" s="1"/>
  <c r="AU19" i="7"/>
  <c r="V19" i="7"/>
  <c r="X29" i="7"/>
  <c r="V29" i="7"/>
  <c r="AU20" i="7"/>
  <c r="V20" i="7"/>
  <c r="X20" i="7"/>
  <c r="W20" i="7"/>
  <c r="AS20" i="7" s="1"/>
  <c r="AT20" i="7" s="1"/>
  <c r="R17" i="7"/>
  <c r="U17" i="7"/>
  <c r="X8" i="7"/>
  <c r="V8" i="7"/>
  <c r="AK8" i="7"/>
  <c r="AI8" i="7"/>
  <c r="X25" i="7"/>
  <c r="V25" i="7"/>
  <c r="X16" i="7"/>
  <c r="V16" i="7"/>
  <c r="AK7" i="7"/>
  <c r="AZ7" i="7"/>
  <c r="AI7" i="7"/>
  <c r="AJ7" i="7"/>
  <c r="AX7" i="7" s="1"/>
  <c r="AY7" i="7" s="1"/>
  <c r="V24" i="7"/>
  <c r="X24" i="7"/>
  <c r="X26" i="7"/>
  <c r="V26" i="7"/>
  <c r="V23" i="7"/>
  <c r="X23" i="7"/>
  <c r="AK11" i="7"/>
  <c r="AI11" i="7"/>
  <c r="X18" i="7"/>
  <c r="V18" i="7"/>
  <c r="W18" i="7"/>
  <c r="AS18" i="7" s="1"/>
  <c r="AT18" i="7" s="1"/>
  <c r="AU18" i="7"/>
  <c r="V14" i="7"/>
  <c r="X14" i="7"/>
  <c r="W14" i="7"/>
  <c r="AE17" i="7"/>
  <c r="AH17" i="7"/>
  <c r="AI12" i="7"/>
  <c r="AK12" i="7"/>
  <c r="V27" i="7"/>
  <c r="X27" i="7"/>
  <c r="AZ13" i="7"/>
  <c r="BB13" i="7" s="1"/>
  <c r="AH34" i="7"/>
  <c r="AE22" i="7"/>
  <c r="AH45" i="7"/>
  <c r="X47" i="7"/>
  <c r="K55" i="7"/>
  <c r="K57" i="7" s="1"/>
  <c r="S8" i="23"/>
  <c r="T4" i="23"/>
  <c r="T3" i="23"/>
  <c r="S9" i="23"/>
  <c r="S6" i="23"/>
  <c r="T1" i="23"/>
  <c r="X2" i="23"/>
  <c r="W7" i="23"/>
  <c r="BB18" i="7" l="1"/>
  <c r="AW21" i="7"/>
  <c r="BB7" i="7"/>
  <c r="AW18" i="7"/>
  <c r="AW22" i="7"/>
  <c r="AI17" i="7"/>
  <c r="AZ17" i="7"/>
  <c r="AK17" i="7"/>
  <c r="AU14" i="7"/>
  <c r="AS14" i="7"/>
  <c r="AT14" i="7" s="1"/>
  <c r="V17" i="7"/>
  <c r="X53" i="7" s="1"/>
  <c r="X17" i="7"/>
  <c r="X31" i="7" s="1"/>
  <c r="W17" i="7"/>
  <c r="AU17" i="7"/>
  <c r="AW19" i="7"/>
  <c r="AW20" i="7"/>
  <c r="AU13" i="7"/>
  <c r="AS13" i="7"/>
  <c r="AT13" i="7" s="1"/>
  <c r="AW7" i="7"/>
  <c r="AJ17" i="7"/>
  <c r="AX17" i="7" s="1"/>
  <c r="AY17" i="7" s="1"/>
  <c r="AI22" i="7"/>
  <c r="AZ22" i="7"/>
  <c r="AK22" i="7"/>
  <c r="AJ22" i="7"/>
  <c r="AH49" i="7"/>
  <c r="AH47" i="7"/>
  <c r="AH51" i="7"/>
  <c r="U3" i="23"/>
  <c r="T8" i="23"/>
  <c r="T9" i="23"/>
  <c r="U4" i="23"/>
  <c r="T6" i="23"/>
  <c r="U1" i="23"/>
  <c r="Y2" i="23"/>
  <c r="X7" i="23"/>
  <c r="BB17" i="7" l="1"/>
  <c r="AK31" i="7"/>
  <c r="AW14" i="7"/>
  <c r="AW13" i="7"/>
  <c r="AS17" i="7"/>
  <c r="AT17" i="7" s="1"/>
  <c r="AW17" i="7" s="1"/>
  <c r="W51" i="7"/>
  <c r="X51" i="7" s="1"/>
  <c r="AX22" i="7"/>
  <c r="AY22" i="7" s="1"/>
  <c r="BB22" i="7" s="1"/>
  <c r="AJ51" i="7"/>
  <c r="AK51" i="7" s="1"/>
  <c r="AK47" i="7"/>
  <c r="AK49" i="7"/>
  <c r="AK53" i="7"/>
  <c r="E71" i="1"/>
  <c r="V4" i="23"/>
  <c r="U9" i="23"/>
  <c r="U8" i="23"/>
  <c r="V3" i="23"/>
  <c r="U6" i="23"/>
  <c r="V1" i="23"/>
  <c r="Y7" i="23"/>
  <c r="BB31" i="7" l="1"/>
  <c r="AW31" i="7"/>
  <c r="X55" i="7"/>
  <c r="X57" i="7" s="1"/>
  <c r="AK55" i="7"/>
  <c r="AK57" i="7" s="1"/>
  <c r="W3" i="23"/>
  <c r="V8" i="23"/>
  <c r="V9" i="23"/>
  <c r="W4" i="23"/>
  <c r="W1" i="23"/>
  <c r="V6" i="23"/>
  <c r="AR33" i="7" l="1"/>
  <c r="K69" i="1"/>
  <c r="K73" i="1" s="1"/>
  <c r="W9" i="23"/>
  <c r="X4" i="23"/>
  <c r="X3" i="23"/>
  <c r="W8" i="23"/>
  <c r="W6" i="23"/>
  <c r="X1" i="23"/>
  <c r="Y3" i="23" l="1"/>
  <c r="X8" i="23"/>
  <c r="Y4" i="23"/>
  <c r="X9" i="23"/>
  <c r="X6" i="23"/>
  <c r="Y1" i="23"/>
  <c r="Y9" i="23" l="1"/>
  <c r="Y8" i="23"/>
  <c r="Y6"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Magyar, Dusán</author>
  </authors>
  <commentList>
    <comment ref="K20" authorId="0" shapeId="0" xr:uid="{00000000-0006-0000-0000-000001000000}">
      <text>
        <r>
          <rPr>
            <b/>
            <sz val="9"/>
            <color indexed="81"/>
            <rFont val="Tahoma"/>
            <family val="2"/>
          </rPr>
          <t>recommended max.: 1250mm</t>
        </r>
        <r>
          <rPr>
            <sz val="9"/>
            <color indexed="81"/>
            <rFont val="Tahoma"/>
            <family val="2"/>
          </rPr>
          <t xml:space="preserve">
</t>
        </r>
      </text>
    </comment>
    <comment ref="K60" authorId="0" shapeId="0" xr:uid="{00000000-0006-0000-0000-000002000000}">
      <text>
        <r>
          <rPr>
            <b/>
            <sz val="9"/>
            <color indexed="81"/>
            <rFont val="Tahoma"/>
            <family val="2"/>
          </rPr>
          <t>recommended max.: 1250mm</t>
        </r>
        <r>
          <rPr>
            <sz val="9"/>
            <color indexed="81"/>
            <rFont val="Tahoma"/>
            <family val="2"/>
          </rPr>
          <t xml:space="preserve">
</t>
        </r>
      </text>
    </comment>
    <comment ref="K62" authorId="0" shapeId="0" xr:uid="{00000000-0006-0000-0000-000003000000}">
      <text>
        <r>
          <rPr>
            <b/>
            <sz val="9"/>
            <color indexed="81"/>
            <rFont val="Tahoma"/>
            <family val="2"/>
          </rPr>
          <t>recommended max.: 1250mm</t>
        </r>
        <r>
          <rPr>
            <sz val="9"/>
            <color indexed="81"/>
            <rFont val="Tahoma"/>
            <family val="2"/>
          </rPr>
          <t xml:space="preserve">
</t>
        </r>
      </text>
    </comment>
    <comment ref="K64" authorId="0" shapeId="0" xr:uid="{00000000-0006-0000-0000-000004000000}">
      <text>
        <r>
          <rPr>
            <b/>
            <sz val="9"/>
            <color indexed="81"/>
            <rFont val="Tahoma"/>
            <family val="2"/>
          </rPr>
          <t>recommended max.: 1250mm</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dusan</author>
  </authors>
  <commentList>
    <comment ref="J51" authorId="0" shapeId="0" xr:uid="{00000000-0006-0000-0100-000001000000}">
      <text>
        <r>
          <rPr>
            <b/>
            <sz val="9"/>
            <color indexed="81"/>
            <rFont val="Tahoma"/>
            <family val="2"/>
            <charset val="238"/>
          </rPr>
          <t>powdercoating</t>
        </r>
      </text>
    </comment>
  </commentList>
</comments>
</file>

<file path=xl/sharedStrings.xml><?xml version="1.0" encoding="utf-8"?>
<sst xmlns="http://schemas.openxmlformats.org/spreadsheetml/2006/main" count="1351" uniqueCount="663">
  <si>
    <t>Customer:</t>
  </si>
  <si>
    <t>Reference:</t>
  </si>
  <si>
    <t>Number of Doors:</t>
  </si>
  <si>
    <t>Panel type:</t>
  </si>
  <si>
    <t>Powdercoating:</t>
  </si>
  <si>
    <t>Door (or ALU Sections Total) Size:</t>
  </si>
  <si>
    <t>Number of Fields:</t>
  </si>
  <si>
    <t>Total weight per Door:</t>
  </si>
  <si>
    <t>Top</t>
  </si>
  <si>
    <t>Sections</t>
  </si>
  <si>
    <t>Intermediate</t>
  </si>
  <si>
    <t>Bottom</t>
  </si>
  <si>
    <t>Height (mm)</t>
  </si>
  <si>
    <t>Panel</t>
  </si>
  <si>
    <t>lower</t>
  </si>
  <si>
    <t>upper</t>
  </si>
  <si>
    <t>ID</t>
  </si>
  <si>
    <t>fingersafe - EPCO</t>
  </si>
  <si>
    <t>fingersafe - Kingspan</t>
  </si>
  <si>
    <t>fingersafe - Metecno</t>
  </si>
  <si>
    <t>non fingersafe</t>
  </si>
  <si>
    <t>powdercoating</t>
  </si>
  <si>
    <t>glassing</t>
  </si>
  <si>
    <t>Itemcode</t>
  </si>
  <si>
    <t>PL-QUINNSAN-20</t>
  </si>
  <si>
    <t>Description</t>
  </si>
  <si>
    <r>
      <t>kg/m</t>
    </r>
    <r>
      <rPr>
        <vertAlign val="superscript"/>
        <sz val="11"/>
        <color indexed="8"/>
        <rFont val="Calibri"/>
        <family val="2"/>
        <charset val="238"/>
      </rPr>
      <t>2</t>
    </r>
  </si>
  <si>
    <t>Weight</t>
  </si>
  <si>
    <t>OTHER</t>
  </si>
  <si>
    <t>Field Size (mm):</t>
  </si>
  <si>
    <t>Daylight Width (mm):</t>
  </si>
  <si>
    <t>Overlap (mm):</t>
  </si>
  <si>
    <t>Width (mm)</t>
  </si>
  <si>
    <t>Qty</t>
  </si>
  <si>
    <t>Qty per Door</t>
  </si>
  <si>
    <t>Total number of Sections:</t>
  </si>
  <si>
    <t>Material:</t>
  </si>
  <si>
    <t>Weight of Glass:</t>
  </si>
  <si>
    <t>Top Section</t>
  </si>
  <si>
    <t>Upper</t>
  </si>
  <si>
    <t>Side</t>
  </si>
  <si>
    <t>Lower</t>
  </si>
  <si>
    <t>Intermediate Section</t>
  </si>
  <si>
    <t>Bottom Section</t>
  </si>
  <si>
    <t>Length (mm)</t>
  </si>
  <si>
    <t>A1E</t>
  </si>
  <si>
    <t>A2M</t>
  </si>
  <si>
    <t>A3B</t>
  </si>
  <si>
    <t>A3EB</t>
  </si>
  <si>
    <t>A3KB</t>
  </si>
  <si>
    <t>A3MB</t>
  </si>
  <si>
    <t>A4MT</t>
  </si>
  <si>
    <t>Plexi</t>
  </si>
  <si>
    <t>Glass Lath</t>
  </si>
  <si>
    <t>Plastic Corner</t>
  </si>
  <si>
    <t>Alu Spacer</t>
  </si>
  <si>
    <t>Rubber Seal for Windows</t>
  </si>
  <si>
    <t>Wadding Paste</t>
  </si>
  <si>
    <t>Rubber Seal for Profiles</t>
  </si>
  <si>
    <t>Upper Profile</t>
  </si>
  <si>
    <t>Side Profile</t>
  </si>
  <si>
    <t>Intermediate Profile</t>
  </si>
  <si>
    <t>Lower Profile</t>
  </si>
  <si>
    <t>ARU</t>
  </si>
  <si>
    <t>ARD</t>
  </si>
  <si>
    <t>ABUT</t>
  </si>
  <si>
    <t>ASIL</t>
  </si>
  <si>
    <t>ARS</t>
  </si>
  <si>
    <t>Screw</t>
  </si>
  <si>
    <t>A1054</t>
  </si>
  <si>
    <t>A1D1000</t>
  </si>
  <si>
    <t>A1DF</t>
  </si>
  <si>
    <t>A1DF-420</t>
  </si>
  <si>
    <t>A1E1000</t>
  </si>
  <si>
    <t>A1EF</t>
  </si>
  <si>
    <t>A1EF-420</t>
  </si>
  <si>
    <t>A2M1000</t>
  </si>
  <si>
    <t>A2MF</t>
  </si>
  <si>
    <t>A2MF-420</t>
  </si>
  <si>
    <t>Profile</t>
  </si>
  <si>
    <r>
      <t>m</t>
    </r>
    <r>
      <rPr>
        <vertAlign val="superscript"/>
        <sz val="11"/>
        <color indexed="8"/>
        <rFont val="Calibri"/>
        <family val="2"/>
        <charset val="238"/>
      </rPr>
      <t>2</t>
    </r>
  </si>
  <si>
    <t>m</t>
  </si>
  <si>
    <t>Fastening Tape</t>
  </si>
  <si>
    <t>pcs</t>
  </si>
  <si>
    <t>tube</t>
  </si>
  <si>
    <t>UoM</t>
  </si>
  <si>
    <t>Comments:</t>
  </si>
  <si>
    <t>Material</t>
  </si>
  <si>
    <t>Qty / Section</t>
  </si>
  <si>
    <t>A1057</t>
  </si>
  <si>
    <t>ARE</t>
  </si>
  <si>
    <t>A3B1000</t>
  </si>
  <si>
    <t>A3EB1000</t>
  </si>
  <si>
    <t>A3HB1000</t>
  </si>
  <si>
    <t>A3KB1000</t>
  </si>
  <si>
    <t>A3MB1000</t>
  </si>
  <si>
    <t>A4ET1000</t>
  </si>
  <si>
    <t>A4HT1000</t>
  </si>
  <si>
    <t>A4KT1000</t>
  </si>
  <si>
    <t>A4MT1000</t>
  </si>
  <si>
    <t>A4R1000</t>
  </si>
  <si>
    <t>A4T1000</t>
  </si>
  <si>
    <t>A5R1000</t>
  </si>
  <si>
    <t>APD1000</t>
  </si>
  <si>
    <t>APE1000</t>
  </si>
  <si>
    <t>Waste</t>
  </si>
  <si>
    <t>Material Cost:</t>
  </si>
  <si>
    <t>Drilling</t>
  </si>
  <si>
    <t>Milling</t>
  </si>
  <si>
    <t>Cutting Profiles</t>
  </si>
  <si>
    <t>Cutting Glass</t>
  </si>
  <si>
    <t>Cutting Lath</t>
  </si>
  <si>
    <t>Cutting Spacer</t>
  </si>
  <si>
    <t>Assembling Distance Holder</t>
  </si>
  <si>
    <t>Assembling Profiles</t>
  </si>
  <si>
    <t>Assembling Double Glassing</t>
  </si>
  <si>
    <t>Sealing Sections</t>
  </si>
  <si>
    <t>Glassing</t>
  </si>
  <si>
    <t>Packing</t>
  </si>
  <si>
    <t>Operation</t>
  </si>
  <si>
    <t>Time</t>
  </si>
  <si>
    <t>min</t>
  </si>
  <si>
    <t>min =</t>
  </si>
  <si>
    <t>x</t>
  </si>
  <si>
    <t>Labour Cost:</t>
  </si>
  <si>
    <t>/ hour</t>
  </si>
  <si>
    <t>TOP SECTION</t>
  </si>
  <si>
    <t>Operations</t>
  </si>
  <si>
    <t>Weight (kg)</t>
  </si>
  <si>
    <t>INTERMEDIATE SECTION</t>
  </si>
  <si>
    <t>BOTTOM SECTION</t>
  </si>
  <si>
    <t>(multiplier:</t>
  </si>
  <si>
    <t>)</t>
  </si>
  <si>
    <t>Total Height (mm):</t>
  </si>
  <si>
    <t>PROJECT DATA</t>
  </si>
  <si>
    <t>SECTIONS</t>
  </si>
  <si>
    <t>DOUBLE AND REINFORCED PROFILES</t>
  </si>
  <si>
    <t>PROJECT SUMMARY</t>
  </si>
  <si>
    <t>PRICE CALCULATION</t>
  </si>
  <si>
    <t>Sections Width:</t>
  </si>
  <si>
    <t>Parity</t>
  </si>
  <si>
    <t>Transport Cost</t>
  </si>
  <si>
    <t>Type</t>
  </si>
  <si>
    <t>EXW FFHU</t>
  </si>
  <si>
    <t>DDU FFIT</t>
  </si>
  <si>
    <t>Surface (m2)</t>
  </si>
  <si>
    <r>
      <t>Surface (m</t>
    </r>
    <r>
      <rPr>
        <b/>
        <i/>
        <vertAlign val="superscript"/>
        <sz val="11"/>
        <color indexed="8"/>
        <rFont val="Calibri"/>
        <family val="2"/>
        <charset val="238"/>
      </rPr>
      <t>2</t>
    </r>
    <r>
      <rPr>
        <b/>
        <i/>
        <sz val="11"/>
        <color indexed="8"/>
        <rFont val="Calibri"/>
        <family val="2"/>
        <charset val="238"/>
      </rPr>
      <t>)</t>
    </r>
  </si>
  <si>
    <t>cost</t>
  </si>
  <si>
    <t>hrs                +</t>
  </si>
  <si>
    <t>hrs               =</t>
  </si>
  <si>
    <t>Transport Cost:</t>
  </si>
  <si>
    <t>SIDE AND LOWER PROFILE</t>
  </si>
  <si>
    <t>Article code</t>
  </si>
  <si>
    <t>unit</t>
  </si>
  <si>
    <t>kg</t>
  </si>
  <si>
    <t>description</t>
  </si>
  <si>
    <t>A1E7200</t>
  </si>
  <si>
    <t>piece</t>
  </si>
  <si>
    <t>single, L=7200mm</t>
  </si>
  <si>
    <t>A1D7200</t>
  </si>
  <si>
    <t>double, L=7200mm</t>
  </si>
  <si>
    <t>single, L=530mm for 610mm section</t>
  </si>
  <si>
    <t>double, L=530mm for 610mm section</t>
  </si>
  <si>
    <t>single, L=420mm for 500mm section</t>
  </si>
  <si>
    <t>double, L=420mm for 500mm section</t>
  </si>
  <si>
    <t>GLASS LATH</t>
  </si>
  <si>
    <t>The plastic glass laths are manufactured from grey (7035) hard PVC. After assembly they are closely aligned with the interior of the aluminium-glass section. The narrow version of the glass lath is suitable for double-glazing (21 mm) and the wide version for single glazing. 
The exterior thickness of the double-glazing should be 21 mm.</t>
  </si>
  <si>
    <t>APD6000</t>
  </si>
  <si>
    <t>PVC narrow L=6000mm</t>
  </si>
  <si>
    <t>APE6000</t>
  </si>
  <si>
    <t>PVC wide L=6000mm</t>
  </si>
  <si>
    <t>RUBBER SEALS</t>
  </si>
  <si>
    <t>The rubber seals are manufactured from high quality black EPDM with a Shore hardness of 70°. 
The narrow version (ARD) is suitable for application in combination with double-glazing. 
The wide version (ARE) is suitable for application in combination with single glazing. 
The version (ARS) issuitable for fitting in the lower profile (A3B7200) and serves as seal between the stacked sections.</t>
  </si>
  <si>
    <t>narrow (double glazing)</t>
  </si>
  <si>
    <t>wide (single glazing)</t>
  </si>
  <si>
    <t>into lower alu profile</t>
  </si>
  <si>
    <t>UPPER PROFILES</t>
  </si>
  <si>
    <t>The anodized profile is suitable as upper profile for the section. We recommend that the version with reinforcement fin be applied for doors with wicket door and from clear width of 4500 mm or more. With this in mind the fin will have to be routed out at the location of the side hinges. We recommend that the version with reinforcement fin be applied from clear width 6000 mm and for doors with wicket door from clear width 4500 mm.</t>
  </si>
  <si>
    <t>A4T7200</t>
  </si>
  <si>
    <t>upper profile, L=7200mm</t>
  </si>
  <si>
    <t>A4R7200</t>
  </si>
  <si>
    <t>upper profile with fin, L=7200mm</t>
  </si>
  <si>
    <t>A5R7200</t>
  </si>
  <si>
    <t>L profile  L=7200mm</t>
  </si>
  <si>
    <t>INTERMEDIATE PROFILE</t>
  </si>
  <si>
    <t>The anodized profile is suitable as central upright. 
NB!  With the pre-routed profile you can build a section to a height of 610mm without investing in your machine inventory. 
All you have to do is drill holes in the horizontal aluminium profiles. 
We recommend a maximum height for the aluminium-glass section of 750mm. 
We also recommend a maximum field width of 1200mm. 
For the processing of the profiles and the assembly to aluminium-glass section we refer you to the Flexi-Force assembly instructions.</t>
  </si>
  <si>
    <t>A2M7200</t>
  </si>
  <si>
    <t>L=7200mm</t>
  </si>
  <si>
    <t>L=530mm for 610mm section</t>
  </si>
  <si>
    <t>L=420mm for 500mm section</t>
  </si>
  <si>
    <t>LOWER PROFILE</t>
  </si>
  <si>
    <t>The anodized profile is suitable as lower profile for the section. For the processing of the profiles and the assembly to aluminium-glass section we refer you to the Flexi-Force assembly instructions.</t>
  </si>
  <si>
    <t>A3B7200</t>
  </si>
  <si>
    <t>lower porofile, L=7200mm</t>
  </si>
  <si>
    <t>To combine our full vision kits with finger-safe sections we introduce finger-safe lower profile (B) and top profiles (T). Fits perfectly with our current line of full vision products.</t>
  </si>
  <si>
    <t xml:space="preserve"> Bottom profiles for finger-safe sections</t>
  </si>
  <si>
    <t>A3EB5080</t>
  </si>
  <si>
    <t xml:space="preserve">piece </t>
  </si>
  <si>
    <t>Panel thickness 40mm, EPCO finger-safe panels</t>
  </si>
  <si>
    <t xml:space="preserve">A3MB5080 </t>
  </si>
  <si>
    <t>Panel thickness 40mm, Metecno/Tecsedo finger-safe panels</t>
  </si>
  <si>
    <t>A3KB5080</t>
  </si>
  <si>
    <t>5.49</t>
  </si>
  <si>
    <t>Panel thickness 40mm, Kingspan finger-safe panels</t>
  </si>
  <si>
    <t>A3HB5080</t>
  </si>
  <si>
    <t>Panel thickness 40mm, TK Hoesch finger-safe panels</t>
  </si>
  <si>
    <t xml:space="preserve"> Top profiles for finger-safe sections</t>
  </si>
  <si>
    <t>To combine our full vision kits with finger-safe sections we now introduce finger safe lower (B) and top profiles (T). Fits perfectly with our current line of full vision products.</t>
  </si>
  <si>
    <t>A4ET5080</t>
  </si>
  <si>
    <t>A4MT5080</t>
  </si>
  <si>
    <t>Panels 40mm, finger-safe Metecno, Tecsedo</t>
  </si>
  <si>
    <t>A4KT5080</t>
  </si>
  <si>
    <t>A4HT5080</t>
  </si>
  <si>
    <t>Panels 40mm, finger-safe ThyssenKruppHoesch</t>
  </si>
  <si>
    <t>BOLT</t>
  </si>
  <si>
    <t>The bolt is electrolytically galvanized and has diameter M6. 
When the bottom section has A1D7200 as lower profile, the side and intermediate profiles should be secured with this bolt. 
In other cases screw A1054 may be employed.</t>
  </si>
  <si>
    <t>socket bolt M6x50mm DIN912</t>
  </si>
  <si>
    <t>SCREW</t>
  </si>
  <si>
    <t>The screw is electrolytically galvanized and has a diameter of 5.5 mm. 
The head is cross-slotted. Other dimensions in conformity with DIN7981B.</t>
  </si>
  <si>
    <t>p. 100</t>
  </si>
  <si>
    <t>screw 5,5x50mm</t>
  </si>
  <si>
    <t>The anodized profile is suitable as side profile and lower profile. 
The A1E7200 is also used as upper profile in a completely glazed door for clear widths of less than 4500 mm. 
NB! With prerouted profiles you can construct an intermediate section with a height of 610 mm without having to invest in your machine inventory. 
All you have to do is drill holes in the horizontal aluminium profiles. We recommend application of the double side and lower profile: 
1) As lower profile for completely glazed doors with pass door (with reinforcing profile)
2) As lower profile for doors with a clear width of 6000 mm or more 
3) As side profile for doors with a clear width of 5000 mm or more. 
We recommend a maximum height for the aluminium-glass section of 750mm. 
For the processing of the profiles and the assembly to aluminium-glass section we refer you to the Flexi-Force assembly instructions.</t>
  </si>
  <si>
    <t>Pictures and Descriptions</t>
  </si>
  <si>
    <t>Date of Delivery:</t>
  </si>
  <si>
    <t>SAN-20</t>
  </si>
  <si>
    <t>PMMA-20</t>
  </si>
  <si>
    <t>PMMA-40</t>
  </si>
  <si>
    <t>BaaN Itemcode</t>
  </si>
  <si>
    <t>ALD1000</t>
  </si>
  <si>
    <t>ALE1000</t>
  </si>
  <si>
    <t>SAN - Clear, 2mm</t>
  </si>
  <si>
    <t>Plexi, 2mm</t>
  </si>
  <si>
    <t>Plexi, 4mm</t>
  </si>
  <si>
    <t xml:space="preserve"> </t>
  </si>
  <si>
    <t>Glass Lath Mat.:</t>
  </si>
  <si>
    <t>Alubond type:</t>
  </si>
  <si>
    <t>Please indicate below where you need alubond instead of glass.</t>
  </si>
  <si>
    <t>top section:</t>
  </si>
  <si>
    <t>intermediate sections:</t>
  </si>
  <si>
    <t>bottom section:</t>
  </si>
  <si>
    <t>Alubond type</t>
  </si>
  <si>
    <t>STUCCO</t>
  </si>
  <si>
    <t>FLAT</t>
  </si>
  <si>
    <t>AB-STUC</t>
  </si>
  <si>
    <t>AB-FLAT</t>
  </si>
  <si>
    <t>AB-NIKE</t>
  </si>
  <si>
    <t>Alubond stucco</t>
  </si>
  <si>
    <t>Alubond flat</t>
  </si>
  <si>
    <t>Nikecell</t>
  </si>
  <si>
    <r>
      <t>m</t>
    </r>
    <r>
      <rPr>
        <vertAlign val="superscript"/>
        <sz val="11"/>
        <color indexed="8"/>
        <rFont val="Calibri"/>
        <family val="2"/>
        <charset val="238"/>
      </rPr>
      <t>2</t>
    </r>
  </si>
  <si>
    <t>STUCCO+FLAT</t>
  </si>
  <si>
    <t>GLAZING</t>
  </si>
  <si>
    <t>Delivery:</t>
  </si>
  <si>
    <t>Glazing:</t>
  </si>
  <si>
    <t>20mm nikecell covered by 0.8mm alu plates, stucco inside and flat outside</t>
  </si>
  <si>
    <t>FLAT+STUCCO</t>
  </si>
  <si>
    <t>20mm nikecell covered by 0.8mm alu plates, flat inside and stucco outside</t>
  </si>
  <si>
    <t>Reinforcement Profile</t>
  </si>
  <si>
    <t>Üvegezés:</t>
  </si>
  <si>
    <t>Only alubond inside</t>
  </si>
  <si>
    <t>A5TR1000</t>
  </si>
  <si>
    <t>A4ETR1000</t>
  </si>
  <si>
    <t>PL-STC-30</t>
  </si>
  <si>
    <t>Soft Clear, 3mm</t>
  </si>
  <si>
    <t>festett</t>
  </si>
  <si>
    <t>TOP</t>
  </si>
  <si>
    <t>INT</t>
  </si>
  <si>
    <t>BOT</t>
  </si>
  <si>
    <t>felület/m</t>
  </si>
  <si>
    <t>festendő mennyiség</t>
  </si>
  <si>
    <t>szekció mennyisége</t>
  </si>
  <si>
    <t>festendő felület</t>
  </si>
  <si>
    <t>festendő felület összesen:</t>
  </si>
  <si>
    <r>
      <t>m</t>
    </r>
    <r>
      <rPr>
        <b/>
        <vertAlign val="superscript"/>
        <sz val="11"/>
        <color indexed="8"/>
        <rFont val="Calibri"/>
        <family val="2"/>
        <charset val="238"/>
      </rPr>
      <t>2</t>
    </r>
  </si>
  <si>
    <t>height adjustment top</t>
  </si>
  <si>
    <t>height adjustment int</t>
  </si>
  <si>
    <t>height adjustment with A1E bot</t>
  </si>
  <si>
    <t>height adjustment with A1D bot</t>
  </si>
  <si>
    <t>lower profile height</t>
  </si>
  <si>
    <t>upper profile height</t>
  </si>
  <si>
    <t>item</t>
  </si>
  <si>
    <t>GSP / Unit</t>
  </si>
  <si>
    <t>GSP / Section</t>
  </si>
  <si>
    <t>Fixed:</t>
  </si>
  <si>
    <t>Variable:</t>
  </si>
  <si>
    <t>A4KTR1000</t>
  </si>
  <si>
    <t>Please specify your order by filling out the white cells! This workbook requires Excel security settings to allow execution of macro's and VBA code.</t>
  </si>
  <si>
    <t>Cost Price:</t>
  </si>
  <si>
    <t>fingersafe - TK Hoesch</t>
  </si>
  <si>
    <t>A3HB</t>
  </si>
  <si>
    <t>A4HT</t>
  </si>
  <si>
    <t>Reinforced upper profile</t>
  </si>
  <si>
    <t>A4R</t>
  </si>
  <si>
    <t>A4ETR</t>
  </si>
  <si>
    <t xml:space="preserve"> - </t>
  </si>
  <si>
    <t>Additional reinforcement</t>
  </si>
  <si>
    <t>A5R</t>
  </si>
  <si>
    <t>A5TR</t>
  </si>
  <si>
    <t>text1</t>
  </si>
  <si>
    <t>text2</t>
  </si>
  <si>
    <t>recommended from</t>
  </si>
  <si>
    <t>double and reinforced profiles check</t>
  </si>
  <si>
    <t>Apply recommended settings</t>
  </si>
  <si>
    <t>recommended</t>
  </si>
  <si>
    <t>double side</t>
  </si>
  <si>
    <t>double bottom</t>
  </si>
  <si>
    <t>reinforced</t>
  </si>
  <si>
    <t>extra reinforcement</t>
  </si>
  <si>
    <t>extra reinforcement profile is not available for TK Hoesch panel type</t>
  </si>
  <si>
    <t>A4T</t>
  </si>
  <si>
    <t>A4ET</t>
  </si>
  <si>
    <t>A4KT</t>
  </si>
  <si>
    <t>Reinforcement</t>
  </si>
  <si>
    <t>A1D double side profiles in each section (recommended if section width &gt;= 5000mm)</t>
  </si>
  <si>
    <t>A5R extra reinforcement on reinforced upper profiles (recommended if section width &gt;= 6000mm)</t>
  </si>
  <si>
    <t>A5TR extra reinforcement on reinforced upper profiles (recommended if section width &gt;= 6000mm)</t>
  </si>
  <si>
    <t>A4R reinforced upper profiles in intermediate and bottom sections (recommended if section width &gt;= 4500mm)</t>
  </si>
  <si>
    <t>A4ETR reinforced upper profiles in intermediate and bottom sections (recommended if section width &gt;= 6000mm)</t>
  </si>
  <si>
    <t>A1D double bottom profile in bottom section (recommended if section width &gt;= 6000mm)</t>
  </si>
  <si>
    <t>Gross Sales Price:</t>
  </si>
  <si>
    <t>Discount:</t>
  </si>
  <si>
    <t>Discounted Sales Price:</t>
  </si>
  <si>
    <r>
      <t>Surface (m</t>
    </r>
    <r>
      <rPr>
        <vertAlign val="superscript"/>
        <sz val="11"/>
        <color indexed="8"/>
        <rFont val="Calibri"/>
        <family val="2"/>
        <charset val="238"/>
      </rPr>
      <t>2</t>
    </r>
    <r>
      <rPr>
        <sz val="11"/>
        <color theme="1"/>
        <rFont val="Calibri"/>
        <family val="2"/>
        <charset val="238"/>
        <scheme val="minor"/>
      </rPr>
      <t>)</t>
    </r>
  </si>
  <si>
    <t>English</t>
  </si>
  <si>
    <t>Français</t>
  </si>
  <si>
    <t>magyar</t>
  </si>
  <si>
    <t>Calculation Form for FULL VISION and ALU sections</t>
  </si>
  <si>
    <t>Fichier de calcul pour portes panoramiques</t>
  </si>
  <si>
    <t>FULL VISION alumínium szekció kalkulációs űrlap</t>
  </si>
  <si>
    <t xml:space="preserve">Kérjük, megrendelését a fehér mezők kitöltésével pontosítsa! Ellenőrizze Excel biztonsági beállításait a makrók engedélyezése és a VBA kódok tekintetében! </t>
  </si>
  <si>
    <t>Veuillez préciser votre ordre en complétant les cellules blanches! Ce classeur nécessite des paramètres de sécurité d'Excel pour permettre l'exécution des macro's et de code VBA.</t>
  </si>
  <si>
    <t>DONNÉES DE PROJET</t>
  </si>
  <si>
    <t>A PROJEKT ADATAI</t>
  </si>
  <si>
    <t>Megrendelő:</t>
  </si>
  <si>
    <t>Client:</t>
  </si>
  <si>
    <t>Référence:</t>
  </si>
  <si>
    <t>Referencia:</t>
  </si>
  <si>
    <t>Panel típusa:</t>
  </si>
  <si>
    <t xml:space="preserve"> Type de panneau:</t>
  </si>
  <si>
    <t>Peint. par poudrage:</t>
  </si>
  <si>
    <t>Porfestett:</t>
  </si>
  <si>
    <t>Alubond csak belső oldalon</t>
  </si>
  <si>
    <t>Kiszállítási paritás:</t>
  </si>
  <si>
    <t>Parité:</t>
  </si>
  <si>
    <t>Délai de livraison:</t>
  </si>
  <si>
    <t>Elkészülés dátuma:</t>
  </si>
  <si>
    <t>Kapuk száma:</t>
  </si>
  <si>
    <t>Quantité de portes identiques:</t>
  </si>
  <si>
    <t>Largeur de la fenetre (mm):</t>
  </si>
  <si>
    <t>Nyílás szélessége (mm):</t>
  </si>
  <si>
    <t>Túlnyúlás (mm):</t>
  </si>
  <si>
    <t>Chevauchement (mm):</t>
  </si>
  <si>
    <t>Largeur de section:</t>
  </si>
  <si>
    <t>Szekciók szélessége (mm):</t>
  </si>
  <si>
    <t>Nombre de champs:</t>
  </si>
  <si>
    <t>Mezők száma:</t>
  </si>
  <si>
    <t>Taille du champ (mm):</t>
  </si>
  <si>
    <t>Mező mérete (mm):</t>
  </si>
  <si>
    <t>VITRAGE</t>
  </si>
  <si>
    <t>ÜVEGEZÉS</t>
  </si>
  <si>
    <t>Vitrage:</t>
  </si>
  <si>
    <t>Matiere:</t>
  </si>
  <si>
    <t>Anyaga:</t>
  </si>
  <si>
    <t>Poids du verre:</t>
  </si>
  <si>
    <t>Üvegezőléc anyaga:</t>
  </si>
  <si>
    <t>Matiere de la latte:</t>
  </si>
  <si>
    <t>SZEKCIÓK</t>
  </si>
  <si>
    <t>Db/kapu</t>
  </si>
  <si>
    <t>Qté par porte</t>
  </si>
  <si>
    <t>Magasság (mm)</t>
  </si>
  <si>
    <t>Hauteur (mm)</t>
  </si>
  <si>
    <t>Felső</t>
  </si>
  <si>
    <t>Supérieur</t>
  </si>
  <si>
    <t>Intermediaire</t>
  </si>
  <si>
    <t>Közbenső</t>
  </si>
  <si>
    <t>Alsó</t>
  </si>
  <si>
    <t>Inférieur</t>
  </si>
  <si>
    <t>Teljes magasság (mm):</t>
  </si>
  <si>
    <t>Hauteur totale (mm):</t>
  </si>
  <si>
    <t>Kérjük, az alábbiakban jelezze, ha plexi helyett alubondot szeretne</t>
  </si>
  <si>
    <t>Indiquez ci-dessous si vous souhaitez alubond au lieu de verre.</t>
  </si>
  <si>
    <t>Type d'alubond</t>
  </si>
  <si>
    <t>Alubond típusa:</t>
  </si>
  <si>
    <t>20mm nikecell két oldalon 0,8mm stucco alu lemezzel lefedve</t>
  </si>
  <si>
    <t>20mm nikecell két oldalon 0,8mm sima alu lemezzel lefedve</t>
  </si>
  <si>
    <t>20mm nikecell két oldalon 0.8mm alu lemezzel lefedve, belül stucco és kívül sima</t>
  </si>
  <si>
    <t>20mm nikecell két oldalon 0.8mm alu lemezzel lefedve, belül sima és kívül stucco</t>
  </si>
  <si>
    <t>section superieure</t>
  </si>
  <si>
    <t>felső szekció:</t>
  </si>
  <si>
    <t>section intermédiaire</t>
  </si>
  <si>
    <t>közbenső szekciók:</t>
  </si>
  <si>
    <t>section inférieure</t>
  </si>
  <si>
    <t>alsó szekció:</t>
  </si>
  <si>
    <t>DUPLA ÉS MEREVÍTETT PROFILOK</t>
  </si>
  <si>
    <t>PROFILS DOUBLES ET RENFORCÉS</t>
  </si>
  <si>
    <t>Javasolt beállítások alkamazása</t>
  </si>
  <si>
    <t>A1D dupla szélső profilok minden szekción (javasolt, ha a szekció szélessége &gt;= 5000mm)</t>
  </si>
  <si>
    <t>A1D dupla alsó profil az alsó szekción (javasolt, ha a szekció szélessége &gt;= 6000mm)</t>
  </si>
  <si>
    <t>A4R merevített felső profilok a köztes és alsó szekciókban (javasolt, ha a szekció szélessége &gt;= 4500mm)</t>
  </si>
  <si>
    <t>A4ETR merevített felső profilok a köztes és alsó szekciókban (javasolt, ha a szekció szélessége &gt;= 6000mm)</t>
  </si>
  <si>
    <t>Reinforced upper profile is not available for Kingspan panel type</t>
  </si>
  <si>
    <t>Merevített felső profil nem érhető el Kingspan paneltípushoz</t>
  </si>
  <si>
    <t>Merevített felső profil nem érhető el Metecno paneltípushoz</t>
  </si>
  <si>
    <t>Reinforced upper profile is not available for Metecno panel type</t>
  </si>
  <si>
    <t>Reinforced upper profile is not available for TK Hoesch panel type</t>
  </si>
  <si>
    <t>Merevített felső profil nem érhető el TK Hoesch paneltípushoz</t>
  </si>
  <si>
    <t>A5R extra megerősítés a merevített felső profilokon (javasolt, ha a szekció szélessége &gt;= 6000mm)</t>
  </si>
  <si>
    <t>A5TR extra megerősítés a merevített felső profilokon (javasolt, ha a szekció szélessége &gt;= 6000mm)</t>
  </si>
  <si>
    <t>Extra reinforcement is not available for Kingspan panel type</t>
  </si>
  <si>
    <t>Extra megerősítés nem érhető el Kingspan paneltípushoz</t>
  </si>
  <si>
    <t>Extra reinforcement profile is not available for Metecno panel type</t>
  </si>
  <si>
    <t>Extra megerősítés nem érhető el Metecno paneltípushoz</t>
  </si>
  <si>
    <t>Extra megerősítés nem érhető el TK Hoesch paneltípushoz</t>
  </si>
  <si>
    <t>RÉSUMÉ DU PROJET</t>
  </si>
  <si>
    <t>PROJEKT ÖSSZEGZÉSE</t>
  </si>
  <si>
    <t>Taille tot. de la porte (ALU sections)</t>
  </si>
  <si>
    <t>Kapu(alu szekciók) teljes mérete:</t>
  </si>
  <si>
    <t>Poids total par porte</t>
  </si>
  <si>
    <t>Kapu összsúlya:</t>
  </si>
  <si>
    <t>Nombre total des sections</t>
  </si>
  <si>
    <t>Szekciók darabszáma összesen:</t>
  </si>
  <si>
    <t>CALCUL DU PRIX</t>
  </si>
  <si>
    <t>ÁRKALKULÁCIÓ</t>
  </si>
  <si>
    <t>Prix de vente brut:</t>
  </si>
  <si>
    <t>Bruttó eladási ár:</t>
  </si>
  <si>
    <t>Kedvezmény:</t>
  </si>
  <si>
    <t>Réduction:</t>
  </si>
  <si>
    <t>Prix de vente escompté:</t>
  </si>
  <si>
    <t>Kedvezményes eladási ár:</t>
  </si>
  <si>
    <t>Megjegyzések:</t>
  </si>
  <si>
    <t>Commentaires</t>
  </si>
  <si>
    <t>GLASS SIZES</t>
  </si>
  <si>
    <t>TAILLE DE VITRAGE</t>
  </si>
  <si>
    <t>ÜVEGEZÉS MÉRETEI</t>
  </si>
  <si>
    <t>Szekciók</t>
  </si>
  <si>
    <t>Largeur (mm)</t>
  </si>
  <si>
    <t>Szélesség (mm)</t>
  </si>
  <si>
    <t>Qté</t>
  </si>
  <si>
    <t>Db</t>
  </si>
  <si>
    <t>Intermédiaire</t>
  </si>
  <si>
    <t>Profilé</t>
  </si>
  <si>
    <t>Longueur (mm)</t>
  </si>
  <si>
    <t>Profil</t>
  </si>
  <si>
    <t>Típus</t>
  </si>
  <si>
    <t>Hossz (mm)</t>
  </si>
  <si>
    <t>Felső szekció</t>
  </si>
  <si>
    <t>Közbenső szekció</t>
  </si>
  <si>
    <t>Alsó szekció</t>
  </si>
  <si>
    <t>Section supérieure</t>
  </si>
  <si>
    <t>Section intermédiaire</t>
  </si>
  <si>
    <t>Section inférieure</t>
  </si>
  <si>
    <t>Haut</t>
  </si>
  <si>
    <t>Latéral</t>
  </si>
  <si>
    <t>Szélső</t>
  </si>
  <si>
    <t>Merevítő</t>
  </si>
  <si>
    <t>seulement alubond à l'intérieur</t>
  </si>
  <si>
    <t>no</t>
  </si>
  <si>
    <t>non</t>
  </si>
  <si>
    <t>nem</t>
  </si>
  <si>
    <t>single</t>
  </si>
  <si>
    <t>szimpla</t>
  </si>
  <si>
    <t>double</t>
  </si>
  <si>
    <t>dupla</t>
  </si>
  <si>
    <t>Tömege:</t>
  </si>
  <si>
    <t>plastic</t>
  </si>
  <si>
    <t>műanyag</t>
  </si>
  <si>
    <t>alu</t>
  </si>
  <si>
    <t>20mms de styromousse couvert par plaques d'aluminium (stucco) de 0,8mms</t>
  </si>
  <si>
    <t>20mm nikecell covered by 0.8mm stucco alu plates on both sides</t>
  </si>
  <si>
    <t>20mms de styromousse couvert par plaques d'aluminium (lisses) de 0,8mms</t>
  </si>
  <si>
    <t>20mms de styromousse couvert par plaques d'aluminium (stucco à l'intérieur, lisses à l'extérieur) de 0,8mms</t>
  </si>
  <si>
    <t>20mms de styromousse couvert par plaques d'aluminium (stucco à l'extérieur, lisses à l'intérieur) de 0,8mms</t>
  </si>
  <si>
    <t>J'utilise les paramètres recommandés</t>
  </si>
  <si>
    <t>profilés latéraux doubles A1D sur chaque section (recommandés si la largeur &gt;=5000mms)</t>
  </si>
  <si>
    <t>profilé inférieur double A1D sur la section inférieure (recommandé si la largeur &gt;=6000mms)</t>
  </si>
  <si>
    <t>profilés supérieurs renforcés A4R sur les sections intermédiaires et inférieurs (recommandés si la largeur &gt;=4500mms)</t>
  </si>
  <si>
    <t>profilés supérieurs renforcés A4ETR sur les sections intermédiaires et inférieurs (recommandés si la largeur &gt;=6000mms)</t>
  </si>
  <si>
    <t>profilé supérieur renforcé n'est pas disponible pour les panneaux Kingspan</t>
  </si>
  <si>
    <t>profilé supérieur renforcé n'est pas disponible pour les panneaux Metecno</t>
  </si>
  <si>
    <t>profilé supérieur renforcé n'est pas disponible pour les panneaux TK Hoesch</t>
  </si>
  <si>
    <t>renforcement supplémentaire A5R sur les profilés supérieurs renforcés (recommandé si la largeur &gt;=6000mms)</t>
  </si>
  <si>
    <t>renforcement supplémentaire A5TR sur les profilés supérieurs renforcés (recommandé si la largeur &gt;=6000mms)</t>
  </si>
  <si>
    <t>renforcement supplémentaire n'est pas disponible pour les panneaux Kingspan</t>
  </si>
  <si>
    <t>renforcement supplémentaire n'est pas disponible pour les panneaux Metecno</t>
  </si>
  <si>
    <t>renforcement supplémentaire n'est pas disponible pour les panneaux TK Hoesch</t>
  </si>
  <si>
    <t>20mm nikecell covered by 0.8mm flat alu plates on both sides</t>
  </si>
  <si>
    <t>ALUBOND</t>
  </si>
  <si>
    <t>ADH115</t>
  </si>
  <si>
    <t>ADH135</t>
  </si>
  <si>
    <t>ADH155</t>
  </si>
  <si>
    <t>ADH-COR115</t>
  </si>
  <si>
    <t>ADH-COR135</t>
  </si>
  <si>
    <t>ADH-COR155</t>
  </si>
  <si>
    <t>ADH thickness</t>
  </si>
  <si>
    <t>2 - option disabled</t>
  </si>
  <si>
    <t>3 - option disabled</t>
  </si>
  <si>
    <t>4 - option disabled</t>
  </si>
  <si>
    <t>yes</t>
  </si>
  <si>
    <t>WOOD542</t>
  </si>
  <si>
    <t>Wooden Sheet</t>
  </si>
  <si>
    <t>oui</t>
  </si>
  <si>
    <t>igen</t>
  </si>
  <si>
    <t>PASSDOOR</t>
  </si>
  <si>
    <t>Passdoor type</t>
  </si>
  <si>
    <t>SafeStep</t>
  </si>
  <si>
    <t>SolidStep</t>
  </si>
  <si>
    <t>other</t>
  </si>
  <si>
    <t>Inner width (mm)</t>
  </si>
  <si>
    <t>Outer width (mm)</t>
  </si>
  <si>
    <t>none</t>
  </si>
  <si>
    <t>No. of fields in left section:</t>
  </si>
  <si>
    <t>No. of fields in right section:</t>
  </si>
  <si>
    <t xml:space="preserve">Passdoor type: </t>
  </si>
  <si>
    <t>Left section's width (mm):</t>
  </si>
  <si>
    <t>Right section's width (mm):</t>
  </si>
  <si>
    <t>Passdoor's outer width (mm):</t>
  </si>
  <si>
    <t>Passdoor's inner width (mm):</t>
  </si>
  <si>
    <t>Windows' width</t>
  </si>
  <si>
    <t>Selected</t>
  </si>
  <si>
    <t xml:space="preserve"> This option is currently unavailable for top or bottom sections.</t>
  </si>
  <si>
    <t>Intermediate left</t>
  </si>
  <si>
    <t>Intermediate right</t>
  </si>
  <si>
    <t>Carton</t>
  </si>
  <si>
    <t>CART524</t>
  </si>
  <si>
    <t>Upper left</t>
  </si>
  <si>
    <t>Upper right</t>
  </si>
  <si>
    <t>Lower left</t>
  </si>
  <si>
    <t>Lower right</t>
  </si>
  <si>
    <t>Item</t>
  </si>
  <si>
    <t>Section</t>
  </si>
  <si>
    <t>Total</t>
  </si>
  <si>
    <t>Lath horizontal</t>
  </si>
  <si>
    <t>Lath vertical</t>
  </si>
  <si>
    <t>Seal window horizontal</t>
  </si>
  <si>
    <t>Seal window vertical</t>
  </si>
  <si>
    <t>Alu spacer horizontal</t>
  </si>
  <si>
    <t>Alu spacer vertical</t>
  </si>
  <si>
    <t>Fastening tape horizontal</t>
  </si>
  <si>
    <t>Fastening tape vertical</t>
  </si>
  <si>
    <t>Valid</t>
  </si>
  <si>
    <t>Plastic corner</t>
  </si>
  <si>
    <t>Wadding paste</t>
  </si>
  <si>
    <t>Plexi left</t>
  </si>
  <si>
    <t>Plexi right</t>
  </si>
  <si>
    <t>Qty/Section</t>
  </si>
  <si>
    <t>Lath horizontal left</t>
  </si>
  <si>
    <t>Lath horizontal right</t>
  </si>
  <si>
    <t>Seal window horizontal left</t>
  </si>
  <si>
    <t>Seal window horizontal right</t>
  </si>
  <si>
    <t>Alu spacer horizontal left</t>
  </si>
  <si>
    <t>Alu spacer horizontal right</t>
  </si>
  <si>
    <t>Fastening tape horizontal left</t>
  </si>
  <si>
    <t>Fastening tape horizontal right</t>
  </si>
  <si>
    <t>Alubond stucco left</t>
  </si>
  <si>
    <t>Alubond stucco right</t>
  </si>
  <si>
    <t>Nikecell left</t>
  </si>
  <si>
    <t>Nikecell right</t>
  </si>
  <si>
    <t>Upper Profile left</t>
  </si>
  <si>
    <t>Upper Profile right</t>
  </si>
  <si>
    <t>Side Profile passdoor</t>
  </si>
  <si>
    <t>Lower Profile left</t>
  </si>
  <si>
    <t>Lower Profile right</t>
  </si>
  <si>
    <t>BoM Qty</t>
  </si>
  <si>
    <t>Upper/side single profile</t>
  </si>
  <si>
    <t>Upper/side double profile</t>
  </si>
  <si>
    <t>Lower/side single profile</t>
  </si>
  <si>
    <t>Lower/side double profile</t>
  </si>
  <si>
    <t>Side single profile</t>
  </si>
  <si>
    <t>Side double profile</t>
  </si>
  <si>
    <t>Upper seal</t>
  </si>
  <si>
    <t>Lower seal</t>
  </si>
  <si>
    <t xml:space="preserve"> SafeStep is incompatible with non-fingersafe profiles.</t>
  </si>
  <si>
    <t xml:space="preserve"> Maximum width is 5 meters for sections with passdoor.</t>
  </si>
  <si>
    <t>SZEMÉLYBEJÁRÓ</t>
  </si>
  <si>
    <t>Személybejáró típusa:</t>
  </si>
  <si>
    <t>Ablakok szélessége</t>
  </si>
  <si>
    <t>Személybejáró külső szélessége (mm):</t>
  </si>
  <si>
    <t>Személybejáró belső szélessége (mm):</t>
  </si>
  <si>
    <t>Mezők száma a baloldali szekcióban:</t>
  </si>
  <si>
    <t>Mezők száma a jobboldali szekcióban:</t>
  </si>
  <si>
    <t>Ez az opció jelenleg nem választható felső és alsó szekciókhoz.</t>
  </si>
  <si>
    <t>A maximális szélesség 5 méter személybejárós szekciók esetében.</t>
  </si>
  <si>
    <t>A SafeStep nem kompatibilis az ujjbecsípődés ellen nem védett profilokkal.</t>
  </si>
  <si>
    <t>Közbenső bal</t>
  </si>
  <si>
    <t>Közbenső jobb</t>
  </si>
  <si>
    <t>Felső bal</t>
  </si>
  <si>
    <t>Felső jobb</t>
  </si>
  <si>
    <t>Alsó bal</t>
  </si>
  <si>
    <t>Alsó jobb</t>
  </si>
  <si>
    <t>Személybejáró szélső</t>
  </si>
  <si>
    <t>Passdoor side</t>
  </si>
  <si>
    <t>Bal szekció szélessége (mm):</t>
  </si>
  <si>
    <t>Jobb szekció szélessége (mm):</t>
  </si>
  <si>
    <t>passdoor (middle)</t>
  </si>
  <si>
    <t>left</t>
  </si>
  <si>
    <t>right</t>
  </si>
  <si>
    <t>Profile length</t>
  </si>
  <si>
    <t>distance</t>
  </si>
  <si>
    <t>Side Profile left</t>
  </si>
  <si>
    <t>Side Profile right</t>
  </si>
  <si>
    <t>Int. drill pos.1</t>
  </si>
  <si>
    <t>Side drill pos.1</t>
  </si>
  <si>
    <t>Side drill pos.2</t>
  </si>
  <si>
    <t>Side drill pos.3</t>
  </si>
  <si>
    <t>Side drill pos.4</t>
  </si>
  <si>
    <t>width</t>
  </si>
  <si>
    <t>No. of fields</t>
  </si>
  <si>
    <t>Int. drill pos.2</t>
  </si>
  <si>
    <t>Int. drill pos.3</t>
  </si>
  <si>
    <t>Int. drill pos.4</t>
  </si>
  <si>
    <t>Int. drill pos.5</t>
  </si>
  <si>
    <t>Int. drill pos.6</t>
  </si>
  <si>
    <t>Int. drill pos.7</t>
  </si>
  <si>
    <t>Int. drill pos.8</t>
  </si>
  <si>
    <t>Int. drill pos.9</t>
  </si>
  <si>
    <t>Int. drill pos.10</t>
  </si>
  <si>
    <t>without passdoor</t>
  </si>
  <si>
    <t>Price</t>
  </si>
  <si>
    <t>Type de portillon</t>
  </si>
  <si>
    <t>Largeur des fenêtres</t>
  </si>
  <si>
    <t>Largeur extérieur du portillon</t>
  </si>
  <si>
    <t>Largeur intérieur du portillon</t>
  </si>
  <si>
    <t>Largeur de la section gauche</t>
  </si>
  <si>
    <t>Nombre de champs dans la section gauche</t>
  </si>
  <si>
    <t>Largeur de la section droite</t>
  </si>
  <si>
    <t>Nombre de champs dans la section droite</t>
  </si>
  <si>
    <t>Cette option n'est actuellement pas disponible pour les sections supérieures ou inférieures.</t>
  </si>
  <si>
    <t>La largeur maximale est de 5 mètres pour les sections avec portillon.</t>
  </si>
  <si>
    <t>SafeStep est incompatible avec les profils sans protection des doigts.</t>
  </si>
  <si>
    <t>Intermédiaire gauche</t>
  </si>
  <si>
    <t>Intermédiaire droite</t>
  </si>
  <si>
    <t>En haut à gauche</t>
  </si>
  <si>
    <t>En haut à droite</t>
  </si>
  <si>
    <t>En bas à gauche</t>
  </si>
  <si>
    <t>En bas à droite</t>
  </si>
  <si>
    <t>Côté portillon</t>
  </si>
  <si>
    <t>distance side-int</t>
  </si>
  <si>
    <t>distance int-int</t>
  </si>
  <si>
    <t>Wadding paste left</t>
  </si>
  <si>
    <t>Wadding paste right</t>
  </si>
  <si>
    <t>ADH type for PanaSpacer</t>
  </si>
  <si>
    <t>-IT-16-B</t>
  </si>
  <si>
    <t>-IT-14-B</t>
  </si>
  <si>
    <t>-IT-12-B</t>
  </si>
  <si>
    <t>ADH-IT-12-B</t>
  </si>
  <si>
    <t>ADH-IT-14-B</t>
  </si>
  <si>
    <t>ADH-IT-16-B</t>
  </si>
  <si>
    <t>Vevői rendelés száma:</t>
  </si>
  <si>
    <t>Numéro de commande du client:</t>
  </si>
  <si>
    <t>Customer order no.:</t>
  </si>
  <si>
    <t>2025-Q1</t>
  </si>
  <si>
    <t>Wooden Plank</t>
  </si>
  <si>
    <t>WOOD525</t>
  </si>
  <si>
    <t>AUX519</t>
  </si>
  <si>
    <t>adhesive tape "FRAGILE"</t>
  </si>
  <si>
    <t>WOOD549</t>
  </si>
  <si>
    <t>WOOD550</t>
  </si>
  <si>
    <t>Pallet 2500 x 650</t>
  </si>
  <si>
    <t>Pallet 4000 x 650</t>
  </si>
  <si>
    <t>ADH</t>
  </si>
  <si>
    <t>ADH-COR</t>
  </si>
  <si>
    <t>DDU FFNL</t>
  </si>
  <si>
    <t>v250117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</si>
</sst>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0\ [$€-1]"/>
    <numFmt numFmtId="165" formatCode="#,##0\ [$€-1]"/>
    <numFmt numFmtId="166" formatCode="0.000"/>
    <numFmt numFmtId="167" formatCode="#,##0.0"/>
    <numFmt numFmtId="168" formatCode="0.0%"/>
    <numFmt numFmtId="169" formatCode="#,##0.0000\ [$€-1]"/>
    <numFmt numFmtId="170" formatCode="#,##0.0000"/>
    <numFmt numFmtId="171" formatCode="0.0"/>
    <numFmt numFmtId="172" formatCode="#,##0.00\ &quot;Ft&quot;"/>
  </numFmts>
  <fonts count="48" x14ac:knownFonts="1">
    <font>
      <sz val="11"/>
      <color theme="1"/>
      <name val="Calibri"/>
      <family val="2"/>
      <charset val="238"/>
      <scheme val="minor"/>
    </font>
    <font>
      <vertAlign val="superscript"/>
      <sz val="11"/>
      <color indexed="8"/>
      <name val="Calibri"/>
      <family val="2"/>
      <charset val="238"/>
    </font>
    <font>
      <b/>
      <sz val="9"/>
      <color indexed="81"/>
      <name val="Tahoma"/>
      <family val="2"/>
      <charset val="238"/>
    </font>
    <font>
      <b/>
      <i/>
      <sz val="11"/>
      <color indexed="8"/>
      <name val="Calibri"/>
      <family val="2"/>
      <charset val="238"/>
    </font>
    <font>
      <b/>
      <i/>
      <vertAlign val="superscript"/>
      <sz val="11"/>
      <color indexed="8"/>
      <name val="Calibri"/>
      <family val="2"/>
      <charset val="238"/>
    </font>
    <font>
      <b/>
      <sz val="14"/>
      <name val="Arial"/>
      <family val="2"/>
      <charset val="238"/>
    </font>
    <font>
      <sz val="8"/>
      <name val="Arial"/>
      <family val="2"/>
      <charset val="238"/>
    </font>
    <font>
      <u/>
      <sz val="10"/>
      <name val="Arial"/>
      <family val="2"/>
      <charset val="238"/>
    </font>
    <font>
      <sz val="9"/>
      <name val="Arial"/>
      <family val="2"/>
      <charset val="238"/>
    </font>
    <font>
      <sz val="10"/>
      <name val="Arial"/>
      <family val="2"/>
      <charset val="238"/>
    </font>
    <font>
      <b/>
      <vertAlign val="superscript"/>
      <sz val="11"/>
      <color indexed="8"/>
      <name val="Calibri"/>
      <family val="2"/>
      <charset val="238"/>
    </font>
    <font>
      <sz val="9"/>
      <color indexed="81"/>
      <name val="Tahoma"/>
      <family val="2"/>
    </font>
    <font>
      <b/>
      <sz val="9"/>
      <color indexed="81"/>
      <name val="Tahoma"/>
      <family val="2"/>
    </font>
    <font>
      <sz val="8"/>
      <name val="Calibri"/>
      <family val="2"/>
      <charset val="238"/>
    </font>
    <font>
      <sz val="11"/>
      <color theme="1"/>
      <name val="Calibri"/>
      <family val="2"/>
      <charset val="238"/>
      <scheme val="minor"/>
    </font>
    <font>
      <b/>
      <sz val="11"/>
      <color theme="1"/>
      <name val="Calibri"/>
      <family val="2"/>
      <charset val="238"/>
      <scheme val="minor"/>
    </font>
    <font>
      <b/>
      <sz val="14"/>
      <color theme="1"/>
      <name val="Calibri"/>
      <family val="2"/>
      <charset val="238"/>
      <scheme val="minor"/>
    </font>
    <font>
      <b/>
      <sz val="14"/>
      <name val="Calibri"/>
      <family val="2"/>
      <charset val="238"/>
      <scheme val="minor"/>
    </font>
    <font>
      <sz val="11"/>
      <name val="Calibri"/>
      <family val="2"/>
      <charset val="238"/>
      <scheme val="minor"/>
    </font>
    <font>
      <b/>
      <i/>
      <sz val="11"/>
      <color theme="1"/>
      <name val="Calibri"/>
      <family val="2"/>
      <charset val="238"/>
      <scheme val="minor"/>
    </font>
    <font>
      <i/>
      <sz val="10"/>
      <color theme="1"/>
      <name val="Calibri"/>
      <family val="2"/>
      <charset val="238"/>
      <scheme val="minor"/>
    </font>
    <font>
      <b/>
      <sz val="16"/>
      <color theme="1"/>
      <name val="Calibri"/>
      <family val="2"/>
      <charset val="238"/>
      <scheme val="minor"/>
    </font>
    <font>
      <b/>
      <sz val="16"/>
      <color theme="0"/>
      <name val="Calibri"/>
      <family val="2"/>
      <charset val="238"/>
      <scheme val="minor"/>
    </font>
    <font>
      <b/>
      <i/>
      <sz val="12"/>
      <color theme="0"/>
      <name val="Calibri"/>
      <family val="2"/>
      <charset val="238"/>
      <scheme val="minor"/>
    </font>
    <font>
      <b/>
      <sz val="12"/>
      <name val="Calibri"/>
      <family val="2"/>
      <charset val="238"/>
      <scheme val="minor"/>
    </font>
    <font>
      <sz val="12"/>
      <name val="Calibri"/>
      <family val="2"/>
      <charset val="238"/>
      <scheme val="minor"/>
    </font>
    <font>
      <i/>
      <sz val="11"/>
      <name val="Calibri"/>
      <family val="2"/>
      <charset val="238"/>
      <scheme val="minor"/>
    </font>
    <font>
      <sz val="12"/>
      <color theme="1"/>
      <name val="Calibri"/>
      <family val="2"/>
      <charset val="238"/>
      <scheme val="minor"/>
    </font>
    <font>
      <i/>
      <sz val="12"/>
      <color theme="0"/>
      <name val="Calibri"/>
      <family val="2"/>
      <charset val="238"/>
      <scheme val="minor"/>
    </font>
    <font>
      <i/>
      <sz val="11"/>
      <color rgb="FFFF0000"/>
      <name val="Calibri"/>
      <family val="2"/>
      <charset val="238"/>
      <scheme val="minor"/>
    </font>
    <font>
      <sz val="10"/>
      <color theme="1"/>
      <name val="Calibri"/>
      <family val="2"/>
      <charset val="238"/>
      <scheme val="minor"/>
    </font>
    <font>
      <b/>
      <i/>
      <sz val="12"/>
      <color theme="1"/>
      <name val="Calibri"/>
      <family val="2"/>
      <charset val="238"/>
      <scheme val="minor"/>
    </font>
    <font>
      <i/>
      <sz val="11"/>
      <color theme="1"/>
      <name val="Calibri"/>
      <family val="2"/>
      <charset val="238"/>
      <scheme val="minor"/>
    </font>
    <font>
      <i/>
      <sz val="10"/>
      <name val="Calibri"/>
      <family val="2"/>
      <charset val="238"/>
      <scheme val="minor"/>
    </font>
    <font>
      <sz val="11"/>
      <color theme="0" tint="-0.14999847407452621"/>
      <name val="Calibri"/>
      <family val="2"/>
      <charset val="238"/>
      <scheme val="minor"/>
    </font>
    <font>
      <b/>
      <i/>
      <sz val="11"/>
      <name val="Calibri"/>
      <family val="2"/>
      <charset val="238"/>
      <scheme val="minor"/>
    </font>
    <font>
      <b/>
      <i/>
      <u/>
      <sz val="11"/>
      <color theme="1"/>
      <name val="Calibri"/>
      <family val="2"/>
      <charset val="238"/>
      <scheme val="minor"/>
    </font>
    <font>
      <sz val="10"/>
      <name val="Calibri"/>
      <family val="2"/>
      <scheme val="minor"/>
    </font>
    <font>
      <b/>
      <sz val="16"/>
      <name val="Calibri"/>
      <family val="2"/>
      <charset val="238"/>
      <scheme val="minor"/>
    </font>
    <font>
      <i/>
      <sz val="12"/>
      <color theme="1"/>
      <name val="Calibri"/>
      <family val="2"/>
      <charset val="238"/>
      <scheme val="minor"/>
    </font>
    <font>
      <b/>
      <sz val="12"/>
      <color theme="1"/>
      <name val="Calibri"/>
      <family val="2"/>
      <charset val="238"/>
      <scheme val="minor"/>
    </font>
    <font>
      <i/>
      <u/>
      <sz val="11"/>
      <color theme="1"/>
      <name val="Calibri"/>
      <family val="2"/>
      <charset val="238"/>
      <scheme val="minor"/>
    </font>
    <font>
      <sz val="11"/>
      <color theme="0" tint="-0.249977111117893"/>
      <name val="Calibri"/>
      <family val="2"/>
      <charset val="238"/>
      <scheme val="minor"/>
    </font>
    <font>
      <b/>
      <sz val="11"/>
      <color rgb="FFFF0000"/>
      <name val="Calibri"/>
      <family val="2"/>
      <scheme val="minor"/>
    </font>
    <font>
      <i/>
      <sz val="11"/>
      <color theme="1"/>
      <name val="Calibri"/>
      <family val="2"/>
      <scheme val="minor"/>
    </font>
    <font>
      <b/>
      <sz val="11"/>
      <color theme="1"/>
      <name val="Calibri"/>
      <family val="2"/>
      <scheme val="minor"/>
    </font>
    <font>
      <i/>
      <u/>
      <sz val="11"/>
      <color theme="1"/>
      <name val="Calibri"/>
      <family val="2"/>
      <scheme val="minor"/>
    </font>
    <font>
      <b/>
      <sz val="10"/>
      <color theme="1"/>
      <name val="Calibri"/>
      <family val="2"/>
      <charset val="238"/>
      <scheme val="minor"/>
    </font>
  </fonts>
  <fills count="13">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CCECFF"/>
        <bgColor indexed="64"/>
      </patternFill>
    </fill>
    <fill>
      <patternFill patternType="solid">
        <fgColor rgb="FFFFFF00"/>
        <bgColor indexed="64"/>
      </patternFill>
    </fill>
    <fill>
      <patternFill patternType="solid">
        <fgColor rgb="FF00B0F0"/>
        <bgColor indexed="64"/>
      </patternFill>
    </fill>
    <fill>
      <patternFill patternType="solid">
        <fgColor theme="0" tint="-0.249977111117893"/>
        <bgColor indexed="64"/>
      </patternFill>
    </fill>
    <fill>
      <patternFill patternType="solid">
        <fgColor rgb="FFCC0000"/>
        <bgColor indexed="64"/>
      </patternFill>
    </fill>
    <fill>
      <patternFill patternType="solid">
        <fgColor theme="0" tint="-0.14996795556505021"/>
        <bgColor indexed="64"/>
      </patternFill>
    </fill>
    <fill>
      <patternFill patternType="solid">
        <fgColor rgb="FFFFFF99"/>
        <bgColor indexed="64"/>
      </patternFill>
    </fill>
    <fill>
      <patternFill patternType="solid">
        <fgColor theme="0"/>
        <bgColor indexed="64"/>
      </patternFill>
    </fill>
    <fill>
      <patternFill patternType="solid">
        <fgColor rgb="FFFFC8BE"/>
        <bgColor indexed="64"/>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ck">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thick">
        <color indexed="64"/>
      </top>
      <bottom/>
      <diagonal/>
    </border>
    <border>
      <left/>
      <right style="thick">
        <color indexed="64"/>
      </right>
      <top style="thick">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ck">
        <color indexed="64"/>
      </right>
      <top/>
      <bottom style="thin">
        <color indexed="64"/>
      </bottom>
      <diagonal/>
    </border>
    <border>
      <left style="thick">
        <color rgb="FFFF0000"/>
      </left>
      <right style="thick">
        <color rgb="FFFF0000"/>
      </right>
      <top style="thick">
        <color rgb="FFFF0000"/>
      </top>
      <bottom style="thick">
        <color rgb="FFFF0000"/>
      </bottom>
      <diagonal/>
    </border>
  </borders>
  <cellStyleXfs count="3">
    <xf numFmtId="0" fontId="0" fillId="0" borderId="0"/>
    <xf numFmtId="0" fontId="9" fillId="0" borderId="0"/>
    <xf numFmtId="9" fontId="14" fillId="0" borderId="0" applyFont="0" applyFill="0" applyBorder="0" applyAlignment="0" applyProtection="0"/>
  </cellStyleXfs>
  <cellXfs count="351">
    <xf numFmtId="0" fontId="0" fillId="0" borderId="0" xfId="0"/>
    <xf numFmtId="0" fontId="0" fillId="2" borderId="0" xfId="0" applyFill="1" applyProtection="1">
      <protection hidden="1"/>
    </xf>
    <xf numFmtId="0" fontId="0" fillId="3" borderId="1" xfId="0" applyFill="1" applyBorder="1" applyProtection="1">
      <protection hidden="1"/>
    </xf>
    <xf numFmtId="0" fontId="0" fillId="3" borderId="2" xfId="0" applyFill="1" applyBorder="1" applyProtection="1">
      <protection hidden="1"/>
    </xf>
    <xf numFmtId="0" fontId="0" fillId="3" borderId="3" xfId="0" applyFill="1" applyBorder="1" applyProtection="1">
      <protection hidden="1"/>
    </xf>
    <xf numFmtId="0" fontId="0" fillId="4" borderId="1" xfId="0" applyFill="1" applyBorder="1" applyProtection="1">
      <protection hidden="1"/>
    </xf>
    <xf numFmtId="0" fontId="0" fillId="4" borderId="2" xfId="0" applyFill="1" applyBorder="1" applyProtection="1">
      <protection hidden="1"/>
    </xf>
    <xf numFmtId="0" fontId="0" fillId="4" borderId="3" xfId="0" applyFill="1" applyBorder="1" applyProtection="1">
      <protection hidden="1"/>
    </xf>
    <xf numFmtId="0" fontId="0" fillId="3" borderId="4" xfId="0" applyFill="1" applyBorder="1" applyProtection="1">
      <protection hidden="1"/>
    </xf>
    <xf numFmtId="0" fontId="16" fillId="5" borderId="5" xfId="0" applyFont="1" applyFill="1" applyBorder="1" applyAlignment="1" applyProtection="1">
      <alignment horizontal="centerContinuous"/>
      <protection hidden="1"/>
    </xf>
    <xf numFmtId="0" fontId="0" fillId="5" borderId="6" xfId="0" applyFill="1" applyBorder="1" applyAlignment="1" applyProtection="1">
      <alignment horizontal="centerContinuous"/>
      <protection hidden="1"/>
    </xf>
    <xf numFmtId="0" fontId="0" fillId="5" borderId="7" xfId="0" applyFill="1" applyBorder="1" applyAlignment="1" applyProtection="1">
      <alignment horizontal="centerContinuous"/>
      <protection hidden="1"/>
    </xf>
    <xf numFmtId="0" fontId="0" fillId="3" borderId="8" xfId="0" applyFill="1" applyBorder="1" applyProtection="1">
      <protection hidden="1"/>
    </xf>
    <xf numFmtId="0" fontId="0" fillId="4" borderId="4" xfId="0" applyFill="1" applyBorder="1" applyProtection="1">
      <protection hidden="1"/>
    </xf>
    <xf numFmtId="0" fontId="17" fillId="6" borderId="5" xfId="0" applyFont="1" applyFill="1" applyBorder="1" applyAlignment="1" applyProtection="1">
      <alignment horizontal="centerContinuous"/>
      <protection hidden="1"/>
    </xf>
    <xf numFmtId="0" fontId="18" fillId="6" borderId="6" xfId="0" applyFont="1" applyFill="1" applyBorder="1" applyAlignment="1" applyProtection="1">
      <alignment horizontal="centerContinuous"/>
      <protection hidden="1"/>
    </xf>
    <xf numFmtId="0" fontId="18" fillId="6" borderId="7" xfId="0" applyFont="1" applyFill="1" applyBorder="1" applyAlignment="1" applyProtection="1">
      <alignment horizontal="centerContinuous"/>
      <protection hidden="1"/>
    </xf>
    <xf numFmtId="0" fontId="0" fillId="4" borderId="8" xfId="0" applyFill="1" applyBorder="1" applyProtection="1">
      <protection hidden="1"/>
    </xf>
    <xf numFmtId="0" fontId="0" fillId="3" borderId="0" xfId="0" applyFill="1" applyAlignment="1" applyProtection="1">
      <alignment horizontal="centerContinuous"/>
      <protection hidden="1"/>
    </xf>
    <xf numFmtId="0" fontId="0" fillId="4" borderId="0" xfId="0" applyFill="1" applyAlignment="1" applyProtection="1">
      <alignment horizontal="centerContinuous"/>
      <protection hidden="1"/>
    </xf>
    <xf numFmtId="0" fontId="19" fillId="3" borderId="0" xfId="0" applyFont="1" applyFill="1" applyProtection="1">
      <protection hidden="1"/>
    </xf>
    <xf numFmtId="0" fontId="19" fillId="4" borderId="0" xfId="0" applyFont="1" applyFill="1" applyProtection="1">
      <protection hidden="1"/>
    </xf>
    <xf numFmtId="0" fontId="0" fillId="3" borderId="9" xfId="0" applyFill="1" applyBorder="1" applyProtection="1">
      <protection hidden="1"/>
    </xf>
    <xf numFmtId="4" fontId="0" fillId="3" borderId="9" xfId="0" applyNumberFormat="1" applyFill="1" applyBorder="1" applyProtection="1">
      <protection hidden="1"/>
    </xf>
    <xf numFmtId="9" fontId="0" fillId="3" borderId="9" xfId="0" applyNumberFormat="1" applyFill="1" applyBorder="1" applyProtection="1">
      <protection hidden="1"/>
    </xf>
    <xf numFmtId="164" fontId="0" fillId="3" borderId="9" xfId="0" applyNumberFormat="1" applyFill="1" applyBorder="1" applyProtection="1">
      <protection hidden="1"/>
    </xf>
    <xf numFmtId="0" fontId="0" fillId="4" borderId="9" xfId="0" applyFill="1" applyBorder="1" applyProtection="1">
      <protection hidden="1"/>
    </xf>
    <xf numFmtId="4" fontId="0" fillId="4" borderId="9" xfId="0" applyNumberFormat="1" applyFill="1" applyBorder="1" applyProtection="1">
      <protection hidden="1"/>
    </xf>
    <xf numFmtId="9" fontId="0" fillId="4" borderId="9" xfId="0" applyNumberFormat="1" applyFill="1" applyBorder="1" applyProtection="1">
      <protection hidden="1"/>
    </xf>
    <xf numFmtId="164" fontId="0" fillId="4" borderId="9" xfId="0" applyNumberFormat="1" applyFill="1" applyBorder="1" applyProtection="1">
      <protection hidden="1"/>
    </xf>
    <xf numFmtId="0" fontId="0" fillId="3" borderId="10" xfId="0" applyFill="1" applyBorder="1" applyProtection="1">
      <protection hidden="1"/>
    </xf>
    <xf numFmtId="4" fontId="0" fillId="3" borderId="10" xfId="0" applyNumberFormat="1" applyFill="1" applyBorder="1" applyProtection="1">
      <protection hidden="1"/>
    </xf>
    <xf numFmtId="9" fontId="0" fillId="3" borderId="10" xfId="0" applyNumberFormat="1" applyFill="1" applyBorder="1" applyProtection="1">
      <protection hidden="1"/>
    </xf>
    <xf numFmtId="164" fontId="0" fillId="3" borderId="10" xfId="0" applyNumberFormat="1" applyFill="1" applyBorder="1" applyProtection="1">
      <protection hidden="1"/>
    </xf>
    <xf numFmtId="0" fontId="0" fillId="4" borderId="10" xfId="0" applyFill="1" applyBorder="1" applyProtection="1">
      <protection hidden="1"/>
    </xf>
    <xf numFmtId="4" fontId="0" fillId="4" borderId="10" xfId="0" applyNumberFormat="1" applyFill="1" applyBorder="1" applyProtection="1">
      <protection hidden="1"/>
    </xf>
    <xf numFmtId="9" fontId="0" fillId="4" borderId="10" xfId="0" applyNumberFormat="1" applyFill="1" applyBorder="1" applyProtection="1">
      <protection hidden="1"/>
    </xf>
    <xf numFmtId="164" fontId="0" fillId="4" borderId="10" xfId="0" applyNumberFormat="1" applyFill="1" applyBorder="1" applyProtection="1">
      <protection hidden="1"/>
    </xf>
    <xf numFmtId="0" fontId="0" fillId="3" borderId="11" xfId="0" applyFill="1" applyBorder="1" applyProtection="1">
      <protection hidden="1"/>
    </xf>
    <xf numFmtId="4" fontId="0" fillId="3" borderId="11" xfId="0" applyNumberFormat="1" applyFill="1" applyBorder="1" applyProtection="1">
      <protection hidden="1"/>
    </xf>
    <xf numFmtId="9" fontId="0" fillId="3" borderId="11" xfId="0" applyNumberFormat="1" applyFill="1" applyBorder="1" applyProtection="1">
      <protection hidden="1"/>
    </xf>
    <xf numFmtId="164" fontId="0" fillId="3" borderId="11" xfId="0" applyNumberFormat="1" applyFill="1" applyBorder="1" applyProtection="1">
      <protection hidden="1"/>
    </xf>
    <xf numFmtId="0" fontId="0" fillId="4" borderId="11" xfId="0" applyFill="1" applyBorder="1" applyProtection="1">
      <protection hidden="1"/>
    </xf>
    <xf numFmtId="4" fontId="0" fillId="4" borderId="11" xfId="0" applyNumberFormat="1" applyFill="1" applyBorder="1" applyProtection="1">
      <protection hidden="1"/>
    </xf>
    <xf numFmtId="9" fontId="0" fillId="4" borderId="11" xfId="0" applyNumberFormat="1" applyFill="1" applyBorder="1" applyProtection="1">
      <protection hidden="1"/>
    </xf>
    <xf numFmtId="164" fontId="0" fillId="4" borderId="11" xfId="0" applyNumberFormat="1" applyFill="1" applyBorder="1" applyProtection="1">
      <protection hidden="1"/>
    </xf>
    <xf numFmtId="0" fontId="0" fillId="3" borderId="0" xfId="0" applyFill="1" applyProtection="1">
      <protection hidden="1"/>
    </xf>
    <xf numFmtId="0" fontId="0" fillId="4" borderId="0" xfId="0" applyFill="1" applyProtection="1">
      <protection hidden="1"/>
    </xf>
    <xf numFmtId="0" fontId="15" fillId="5" borderId="5" xfId="0" applyFont="1" applyFill="1" applyBorder="1" applyProtection="1">
      <protection hidden="1"/>
    </xf>
    <xf numFmtId="0" fontId="0" fillId="5" borderId="6" xfId="0" applyFill="1" applyBorder="1" applyProtection="1">
      <protection hidden="1"/>
    </xf>
    <xf numFmtId="164" fontId="15" fillId="5" borderId="7" xfId="0" applyNumberFormat="1" applyFont="1" applyFill="1" applyBorder="1" applyProtection="1">
      <protection hidden="1"/>
    </xf>
    <xf numFmtId="0" fontId="15" fillId="6" borderId="5" xfId="0" applyFont="1" applyFill="1" applyBorder="1" applyProtection="1">
      <protection hidden="1"/>
    </xf>
    <xf numFmtId="0" fontId="0" fillId="6" borderId="6" xfId="0" applyFill="1" applyBorder="1" applyProtection="1">
      <protection hidden="1"/>
    </xf>
    <xf numFmtId="164" fontId="15" fillId="6" borderId="7" xfId="0" applyNumberFormat="1" applyFont="1" applyFill="1" applyBorder="1" applyProtection="1">
      <protection hidden="1"/>
    </xf>
    <xf numFmtId="0" fontId="20" fillId="3" borderId="12" xfId="0" applyFont="1" applyFill="1" applyBorder="1" applyProtection="1">
      <protection hidden="1"/>
    </xf>
    <xf numFmtId="0" fontId="20" fillId="3" borderId="13" xfId="0" applyFont="1" applyFill="1" applyBorder="1" applyProtection="1">
      <protection hidden="1"/>
    </xf>
    <xf numFmtId="0" fontId="20" fillId="3" borderId="13" xfId="0" applyFont="1" applyFill="1" applyBorder="1" applyAlignment="1" applyProtection="1">
      <alignment horizontal="center"/>
      <protection hidden="1"/>
    </xf>
    <xf numFmtId="4" fontId="20" fillId="3" borderId="13" xfId="0" applyNumberFormat="1" applyFont="1" applyFill="1" applyBorder="1" applyProtection="1">
      <protection hidden="1"/>
    </xf>
    <xf numFmtId="0" fontId="20" fillId="3" borderId="14" xfId="0" applyFont="1" applyFill="1" applyBorder="1" applyProtection="1">
      <protection hidden="1"/>
    </xf>
    <xf numFmtId="0" fontId="20" fillId="3" borderId="0" xfId="0" applyFont="1" applyFill="1" applyProtection="1">
      <protection hidden="1"/>
    </xf>
    <xf numFmtId="0" fontId="20" fillId="4" borderId="12" xfId="0" applyFont="1" applyFill="1" applyBorder="1" applyProtection="1">
      <protection hidden="1"/>
    </xf>
    <xf numFmtId="0" fontId="20" fillId="4" borderId="13" xfId="0" applyFont="1" applyFill="1" applyBorder="1" applyProtection="1">
      <protection hidden="1"/>
    </xf>
    <xf numFmtId="0" fontId="20" fillId="4" borderId="13" xfId="0" applyFont="1" applyFill="1" applyBorder="1" applyAlignment="1" applyProtection="1">
      <alignment horizontal="center"/>
      <protection hidden="1"/>
    </xf>
    <xf numFmtId="4" fontId="20" fillId="4" borderId="13" xfId="0" applyNumberFormat="1" applyFont="1" applyFill="1" applyBorder="1" applyProtection="1">
      <protection hidden="1"/>
    </xf>
    <xf numFmtId="0" fontId="20" fillId="4" borderId="14" xfId="0" applyFont="1" applyFill="1" applyBorder="1" applyProtection="1">
      <protection hidden="1"/>
    </xf>
    <xf numFmtId="0" fontId="20" fillId="4" borderId="0" xfId="0" applyFont="1" applyFill="1" applyProtection="1">
      <protection hidden="1"/>
    </xf>
    <xf numFmtId="0" fontId="20" fillId="3" borderId="15" xfId="0" applyFont="1" applyFill="1" applyBorder="1" applyProtection="1">
      <protection hidden="1"/>
    </xf>
    <xf numFmtId="0" fontId="20" fillId="3" borderId="0" xfId="0" applyFont="1" applyFill="1" applyAlignment="1" applyProtection="1">
      <alignment horizontal="center"/>
      <protection hidden="1"/>
    </xf>
    <xf numFmtId="4" fontId="20" fillId="3" borderId="0" xfId="0" applyNumberFormat="1" applyFont="1" applyFill="1" applyProtection="1">
      <protection hidden="1"/>
    </xf>
    <xf numFmtId="0" fontId="20" fillId="3" borderId="16" xfId="0" applyFont="1" applyFill="1" applyBorder="1" applyProtection="1">
      <protection hidden="1"/>
    </xf>
    <xf numFmtId="0" fontId="20" fillId="4" borderId="15" xfId="0" applyFont="1" applyFill="1" applyBorder="1" applyProtection="1">
      <protection hidden="1"/>
    </xf>
    <xf numFmtId="0" fontId="20" fillId="4" borderId="0" xfId="0" applyFont="1" applyFill="1" applyAlignment="1" applyProtection="1">
      <alignment horizontal="center"/>
      <protection hidden="1"/>
    </xf>
    <xf numFmtId="4" fontId="20" fillId="4" borderId="0" xfId="0" applyNumberFormat="1" applyFont="1" applyFill="1" applyProtection="1">
      <protection hidden="1"/>
    </xf>
    <xf numFmtId="0" fontId="20" fillId="4" borderId="16" xfId="0" applyFont="1" applyFill="1" applyBorder="1" applyProtection="1">
      <protection hidden="1"/>
    </xf>
    <xf numFmtId="0" fontId="20" fillId="3" borderId="17" xfId="0" applyFont="1" applyFill="1" applyBorder="1" applyProtection="1">
      <protection hidden="1"/>
    </xf>
    <xf numFmtId="0" fontId="20" fillId="3" borderId="18" xfId="0" applyFont="1" applyFill="1" applyBorder="1" applyProtection="1">
      <protection hidden="1"/>
    </xf>
    <xf numFmtId="0" fontId="20" fillId="3" borderId="18" xfId="0" applyFont="1" applyFill="1" applyBorder="1" applyAlignment="1" applyProtection="1">
      <alignment horizontal="center"/>
      <protection hidden="1"/>
    </xf>
    <xf numFmtId="4" fontId="20" fillId="3" borderId="18" xfId="0" applyNumberFormat="1" applyFont="1" applyFill="1" applyBorder="1" applyProtection="1">
      <protection hidden="1"/>
    </xf>
    <xf numFmtId="0" fontId="20" fillId="3" borderId="19" xfId="0" applyFont="1" applyFill="1" applyBorder="1" applyProtection="1">
      <protection hidden="1"/>
    </xf>
    <xf numFmtId="0" fontId="20" fillId="4" borderId="17" xfId="0" applyFont="1" applyFill="1" applyBorder="1" applyProtection="1">
      <protection hidden="1"/>
    </xf>
    <xf numFmtId="0" fontId="20" fillId="4" borderId="18" xfId="0" applyFont="1" applyFill="1" applyBorder="1" applyProtection="1">
      <protection hidden="1"/>
    </xf>
    <xf numFmtId="0" fontId="20" fillId="4" borderId="18" xfId="0" applyFont="1" applyFill="1" applyBorder="1" applyAlignment="1" applyProtection="1">
      <alignment horizontal="center"/>
      <protection hidden="1"/>
    </xf>
    <xf numFmtId="4" fontId="20" fillId="4" borderId="18" xfId="0" applyNumberFormat="1" applyFont="1" applyFill="1" applyBorder="1" applyProtection="1">
      <protection hidden="1"/>
    </xf>
    <xf numFmtId="0" fontId="20" fillId="4" borderId="19" xfId="0" applyFont="1" applyFill="1" applyBorder="1" applyProtection="1">
      <protection hidden="1"/>
    </xf>
    <xf numFmtId="0" fontId="15" fillId="3" borderId="5" xfId="0" applyFont="1" applyFill="1" applyBorder="1" applyProtection="1">
      <protection hidden="1"/>
    </xf>
    <xf numFmtId="0" fontId="0" fillId="3" borderId="6" xfId="0" applyFill="1" applyBorder="1" applyProtection="1">
      <protection hidden="1"/>
    </xf>
    <xf numFmtId="164" fontId="20" fillId="3" borderId="6" xfId="0" applyNumberFormat="1" applyFont="1" applyFill="1" applyBorder="1" applyProtection="1">
      <protection hidden="1"/>
    </xf>
    <xf numFmtId="0" fontId="20" fillId="3" borderId="6" xfId="0" applyFont="1" applyFill="1" applyBorder="1" applyProtection="1">
      <protection hidden="1"/>
    </xf>
    <xf numFmtId="0" fontId="20" fillId="3" borderId="6" xfId="0" applyFont="1" applyFill="1" applyBorder="1" applyAlignment="1" applyProtection="1">
      <alignment horizontal="center"/>
      <protection hidden="1"/>
    </xf>
    <xf numFmtId="4" fontId="20" fillId="3" borderId="6" xfId="0" applyNumberFormat="1" applyFont="1" applyFill="1" applyBorder="1" applyProtection="1">
      <protection hidden="1"/>
    </xf>
    <xf numFmtId="164" fontId="15" fillId="3" borderId="7" xfId="0" applyNumberFormat="1" applyFont="1" applyFill="1" applyBorder="1" applyProtection="1">
      <protection hidden="1"/>
    </xf>
    <xf numFmtId="0" fontId="15" fillId="4" borderId="5" xfId="0" applyFont="1" applyFill="1" applyBorder="1" applyProtection="1">
      <protection hidden="1"/>
    </xf>
    <xf numFmtId="0" fontId="0" fillId="4" borderId="6" xfId="0" applyFill="1" applyBorder="1" applyProtection="1">
      <protection hidden="1"/>
    </xf>
    <xf numFmtId="164" fontId="20" fillId="4" borderId="6" xfId="0" applyNumberFormat="1" applyFont="1" applyFill="1" applyBorder="1" applyProtection="1">
      <protection hidden="1"/>
    </xf>
    <xf numFmtId="0" fontId="20" fillId="4" borderId="6" xfId="0" applyFont="1" applyFill="1" applyBorder="1" applyProtection="1">
      <protection hidden="1"/>
    </xf>
    <xf numFmtId="0" fontId="20" fillId="4" borderId="6" xfId="0" applyFont="1" applyFill="1" applyBorder="1" applyAlignment="1" applyProtection="1">
      <alignment horizontal="center"/>
      <protection hidden="1"/>
    </xf>
    <xf numFmtId="4" fontId="20" fillId="4" borderId="6" xfId="0" applyNumberFormat="1" applyFont="1" applyFill="1" applyBorder="1" applyProtection="1">
      <protection hidden="1"/>
    </xf>
    <xf numFmtId="164" fontId="15" fillId="4" borderId="7" xfId="0" applyNumberFormat="1" applyFont="1" applyFill="1" applyBorder="1" applyProtection="1">
      <protection hidden="1"/>
    </xf>
    <xf numFmtId="0" fontId="0" fillId="4" borderId="5" xfId="0" applyFill="1" applyBorder="1" applyProtection="1">
      <protection hidden="1"/>
    </xf>
    <xf numFmtId="0" fontId="16" fillId="5" borderId="5" xfId="0" applyFont="1" applyFill="1" applyBorder="1" applyProtection="1">
      <protection hidden="1"/>
    </xf>
    <xf numFmtId="164" fontId="16" fillId="5" borderId="7" xfId="0" applyNumberFormat="1" applyFont="1" applyFill="1" applyBorder="1" applyProtection="1">
      <protection hidden="1"/>
    </xf>
    <xf numFmtId="0" fontId="16" fillId="6" borderId="5" xfId="0" applyFont="1" applyFill="1" applyBorder="1" applyProtection="1">
      <protection hidden="1"/>
    </xf>
    <xf numFmtId="164" fontId="16" fillId="6" borderId="7" xfId="0" applyNumberFormat="1" applyFont="1" applyFill="1" applyBorder="1" applyProtection="1">
      <protection hidden="1"/>
    </xf>
    <xf numFmtId="0" fontId="20" fillId="5" borderId="6" xfId="0" applyFont="1" applyFill="1" applyBorder="1" applyProtection="1">
      <protection hidden="1"/>
    </xf>
    <xf numFmtId="0" fontId="20" fillId="5" borderId="6" xfId="0" applyFont="1" applyFill="1" applyBorder="1" applyAlignment="1" applyProtection="1">
      <alignment horizontal="right"/>
      <protection hidden="1"/>
    </xf>
    <xf numFmtId="0" fontId="20" fillId="6" borderId="6" xfId="0" applyFont="1" applyFill="1" applyBorder="1" applyProtection="1">
      <protection hidden="1"/>
    </xf>
    <xf numFmtId="0" fontId="20" fillId="6" borderId="6" xfId="0" applyFont="1" applyFill="1" applyBorder="1" applyAlignment="1" applyProtection="1">
      <alignment horizontal="right"/>
      <protection hidden="1"/>
    </xf>
    <xf numFmtId="0" fontId="0" fillId="3" borderId="20" xfId="0" applyFill="1" applyBorder="1" applyProtection="1">
      <protection hidden="1"/>
    </xf>
    <xf numFmtId="0" fontId="0" fillId="3" borderId="21" xfId="0" applyFill="1" applyBorder="1" applyProtection="1">
      <protection hidden="1"/>
    </xf>
    <xf numFmtId="0" fontId="0" fillId="3" borderId="22" xfId="0" applyFill="1" applyBorder="1" applyProtection="1">
      <protection hidden="1"/>
    </xf>
    <xf numFmtId="0" fontId="0" fillId="4" borderId="20" xfId="0" applyFill="1" applyBorder="1" applyProtection="1">
      <protection hidden="1"/>
    </xf>
    <xf numFmtId="0" fontId="0" fillId="4" borderId="21" xfId="0" applyFill="1" applyBorder="1" applyProtection="1">
      <protection hidden="1"/>
    </xf>
    <xf numFmtId="0" fontId="0" fillId="4" borderId="22" xfId="0" applyFill="1" applyBorder="1" applyProtection="1">
      <protection hidden="1"/>
    </xf>
    <xf numFmtId="0" fontId="0" fillId="0" borderId="0" xfId="0" applyProtection="1">
      <protection hidden="1"/>
    </xf>
    <xf numFmtId="164" fontId="0" fillId="0" borderId="0" xfId="0" applyNumberFormat="1" applyProtection="1">
      <protection hidden="1"/>
    </xf>
    <xf numFmtId="0" fontId="0" fillId="0" borderId="0" xfId="0" applyAlignment="1" applyProtection="1">
      <alignment horizontal="centerContinuous"/>
      <protection hidden="1"/>
    </xf>
    <xf numFmtId="4" fontId="0" fillId="0" borderId="0" xfId="0" applyNumberFormat="1" applyProtection="1">
      <protection hidden="1"/>
    </xf>
    <xf numFmtId="165" fontId="0" fillId="0" borderId="0" xfId="0" applyNumberFormat="1" applyProtection="1">
      <protection hidden="1"/>
    </xf>
    <xf numFmtId="166" fontId="0" fillId="0" borderId="0" xfId="0" applyNumberFormat="1" applyProtection="1">
      <protection hidden="1"/>
    </xf>
    <xf numFmtId="0" fontId="0" fillId="7" borderId="0" xfId="0" applyFill="1" applyProtection="1">
      <protection hidden="1"/>
    </xf>
    <xf numFmtId="0" fontId="0" fillId="7" borderId="24" xfId="0" applyFill="1" applyBorder="1" applyProtection="1">
      <protection hidden="1"/>
    </xf>
    <xf numFmtId="0" fontId="18" fillId="7" borderId="18" xfId="0" applyFont="1" applyFill="1" applyBorder="1" applyProtection="1">
      <protection hidden="1"/>
    </xf>
    <xf numFmtId="0" fontId="21" fillId="7" borderId="18" xfId="0" applyFont="1" applyFill="1" applyBorder="1" applyProtection="1">
      <protection hidden="1"/>
    </xf>
    <xf numFmtId="0" fontId="0" fillId="7" borderId="18" xfId="0" applyFill="1" applyBorder="1" applyProtection="1">
      <protection hidden="1"/>
    </xf>
    <xf numFmtId="0" fontId="21" fillId="7" borderId="0" xfId="0" applyFont="1" applyFill="1" applyAlignment="1" applyProtection="1">
      <alignment vertical="center"/>
      <protection hidden="1"/>
    </xf>
    <xf numFmtId="0" fontId="5" fillId="7" borderId="0" xfId="0" applyFont="1" applyFill="1" applyProtection="1">
      <protection hidden="1"/>
    </xf>
    <xf numFmtId="0" fontId="6" fillId="7" borderId="0" xfId="0" applyFont="1" applyFill="1" applyProtection="1">
      <protection hidden="1"/>
    </xf>
    <xf numFmtId="0" fontId="7" fillId="7" borderId="0" xfId="0" applyFont="1" applyFill="1" applyProtection="1">
      <protection hidden="1"/>
    </xf>
    <xf numFmtId="0" fontId="22" fillId="8" borderId="25" xfId="0" applyFont="1" applyFill="1" applyBorder="1" applyAlignment="1" applyProtection="1">
      <alignment horizontal="centerContinuous" vertical="center"/>
      <protection hidden="1"/>
    </xf>
    <xf numFmtId="0" fontId="0" fillId="8" borderId="25" xfId="0" applyFill="1" applyBorder="1" applyAlignment="1" applyProtection="1">
      <alignment horizontal="centerContinuous"/>
      <protection hidden="1"/>
    </xf>
    <xf numFmtId="0" fontId="0" fillId="8" borderId="26" xfId="0" applyFill="1" applyBorder="1" applyAlignment="1" applyProtection="1">
      <alignment horizontal="centerContinuous"/>
      <protection hidden="1"/>
    </xf>
    <xf numFmtId="0" fontId="23" fillId="9" borderId="27" xfId="0" applyFont="1" applyFill="1" applyBorder="1" applyAlignment="1" applyProtection="1">
      <alignment horizontal="centerContinuous" vertical="center"/>
      <protection hidden="1"/>
    </xf>
    <xf numFmtId="0" fontId="22" fillId="9" borderId="13" xfId="0" applyFont="1" applyFill="1" applyBorder="1" applyAlignment="1" applyProtection="1">
      <alignment horizontal="centerContinuous" vertical="center"/>
      <protection hidden="1"/>
    </xf>
    <xf numFmtId="0" fontId="0" fillId="9" borderId="13" xfId="0" applyFill="1" applyBorder="1" applyAlignment="1" applyProtection="1">
      <alignment horizontal="centerContinuous"/>
      <protection hidden="1"/>
    </xf>
    <xf numFmtId="0" fontId="0" fillId="9" borderId="28" xfId="0" applyFill="1" applyBorder="1" applyAlignment="1" applyProtection="1">
      <alignment horizontal="centerContinuous"/>
      <protection hidden="1"/>
    </xf>
    <xf numFmtId="0" fontId="23" fillId="9" borderId="4" xfId="0" applyFont="1" applyFill="1" applyBorder="1" applyAlignment="1" applyProtection="1">
      <alignment vertical="center"/>
      <protection hidden="1"/>
    </xf>
    <xf numFmtId="0" fontId="0" fillId="9" borderId="0" xfId="0" applyFill="1" applyProtection="1">
      <protection hidden="1"/>
    </xf>
    <xf numFmtId="0" fontId="0" fillId="9" borderId="8" xfId="0" applyFill="1" applyBorder="1" applyProtection="1">
      <protection hidden="1"/>
    </xf>
    <xf numFmtId="0" fontId="0" fillId="2" borderId="4" xfId="0" applyFill="1" applyBorder="1" applyProtection="1">
      <protection hidden="1"/>
    </xf>
    <xf numFmtId="0" fontId="18" fillId="2" borderId="0" xfId="0" applyFont="1" applyFill="1" applyProtection="1">
      <protection hidden="1"/>
    </xf>
    <xf numFmtId="0" fontId="18" fillId="2" borderId="8" xfId="0" applyFont="1" applyFill="1" applyBorder="1" applyProtection="1">
      <protection hidden="1"/>
    </xf>
    <xf numFmtId="0" fontId="0" fillId="2" borderId="0" xfId="0" applyFill="1" applyAlignment="1" applyProtection="1">
      <alignment horizontal="right" vertical="center"/>
      <protection hidden="1"/>
    </xf>
    <xf numFmtId="0" fontId="18" fillId="2" borderId="0" xfId="0" applyFont="1" applyFill="1" applyAlignment="1" applyProtection="1">
      <alignment horizontal="right" vertical="center"/>
      <protection hidden="1"/>
    </xf>
    <xf numFmtId="0" fontId="0" fillId="2" borderId="0" xfId="0" applyFill="1" applyAlignment="1" applyProtection="1">
      <alignment horizontal="right"/>
      <protection hidden="1"/>
    </xf>
    <xf numFmtId="0" fontId="24" fillId="2" borderId="0" xfId="0" applyFont="1" applyFill="1" applyAlignment="1" applyProtection="1">
      <alignment horizontal="right" vertical="center"/>
      <protection hidden="1"/>
    </xf>
    <xf numFmtId="0" fontId="17" fillId="2" borderId="0" xfId="0" applyFont="1" applyFill="1" applyAlignment="1" applyProtection="1">
      <alignment vertical="center"/>
      <protection hidden="1"/>
    </xf>
    <xf numFmtId="0" fontId="18" fillId="2" borderId="8" xfId="0" applyFont="1" applyFill="1" applyBorder="1" applyAlignment="1" applyProtection="1">
      <alignment horizontal="right"/>
      <protection hidden="1"/>
    </xf>
    <xf numFmtId="0" fontId="25" fillId="2" borderId="0" xfId="0" applyFont="1" applyFill="1" applyAlignment="1" applyProtection="1">
      <alignment horizontal="left" vertical="center" indent="2"/>
      <protection hidden="1"/>
    </xf>
    <xf numFmtId="0" fontId="20" fillId="2" borderId="0" xfId="0" applyFont="1" applyFill="1" applyAlignment="1" applyProtection="1">
      <alignment horizontal="left"/>
      <protection hidden="1"/>
    </xf>
    <xf numFmtId="0" fontId="26" fillId="2" borderId="0" xfId="0" applyFont="1" applyFill="1" applyAlignment="1" applyProtection="1">
      <alignment horizontal="center" vertical="center"/>
      <protection hidden="1"/>
    </xf>
    <xf numFmtId="0" fontId="0" fillId="2" borderId="20" xfId="0" applyFill="1" applyBorder="1" applyProtection="1">
      <protection hidden="1"/>
    </xf>
    <xf numFmtId="0" fontId="0" fillId="2" borderId="21" xfId="0" applyFill="1" applyBorder="1" applyAlignment="1" applyProtection="1">
      <alignment horizontal="right"/>
      <protection hidden="1"/>
    </xf>
    <xf numFmtId="0" fontId="0" fillId="2" borderId="21" xfId="0" applyFill="1" applyBorder="1" applyProtection="1">
      <protection hidden="1"/>
    </xf>
    <xf numFmtId="0" fontId="18" fillId="2" borderId="21" xfId="0" applyFont="1" applyFill="1" applyBorder="1" applyProtection="1">
      <protection hidden="1"/>
    </xf>
    <xf numFmtId="0" fontId="18" fillId="2" borderId="21" xfId="0" applyFont="1" applyFill="1" applyBorder="1" applyAlignment="1" applyProtection="1">
      <alignment horizontal="right" vertical="center"/>
      <protection hidden="1"/>
    </xf>
    <xf numFmtId="0" fontId="25" fillId="2" borderId="21" xfId="0" applyFont="1" applyFill="1" applyBorder="1" applyAlignment="1" applyProtection="1">
      <alignment horizontal="left" vertical="center" indent="3"/>
      <protection hidden="1"/>
    </xf>
    <xf numFmtId="0" fontId="18" fillId="2" borderId="22" xfId="0" applyFont="1" applyFill="1" applyBorder="1" applyProtection="1">
      <protection hidden="1"/>
    </xf>
    <xf numFmtId="0" fontId="0" fillId="7" borderId="0" xfId="0" applyFill="1" applyAlignment="1" applyProtection="1">
      <alignment horizontal="right"/>
      <protection hidden="1"/>
    </xf>
    <xf numFmtId="0" fontId="27" fillId="7" borderId="0" xfId="0" applyFont="1" applyFill="1" applyAlignment="1" applyProtection="1">
      <alignment horizontal="left" vertical="center" indent="3"/>
      <protection hidden="1"/>
    </xf>
    <xf numFmtId="0" fontId="23" fillId="8" borderId="25" xfId="0" applyFont="1" applyFill="1" applyBorder="1" applyAlignment="1" applyProtection="1">
      <alignment horizontal="centerContinuous"/>
      <protection hidden="1"/>
    </xf>
    <xf numFmtId="0" fontId="23" fillId="8" borderId="26" xfId="0" applyFont="1" applyFill="1" applyBorder="1" applyAlignment="1" applyProtection="1">
      <alignment horizontal="centerContinuous"/>
      <protection hidden="1"/>
    </xf>
    <xf numFmtId="0" fontId="28" fillId="8" borderId="29" xfId="0" applyFont="1" applyFill="1" applyBorder="1" applyAlignment="1" applyProtection="1">
      <alignment horizontal="centerContinuous"/>
      <protection hidden="1"/>
    </xf>
    <xf numFmtId="0" fontId="23" fillId="8" borderId="25" xfId="0" applyFont="1" applyFill="1" applyBorder="1" applyAlignment="1" applyProtection="1">
      <alignment horizontal="centerContinuous" vertical="center"/>
      <protection hidden="1"/>
    </xf>
    <xf numFmtId="0" fontId="20" fillId="8" borderId="25" xfId="0" applyFont="1" applyFill="1" applyBorder="1" applyAlignment="1" applyProtection="1">
      <alignment horizontal="centerContinuous"/>
      <protection hidden="1"/>
    </xf>
    <xf numFmtId="0" fontId="0" fillId="2" borderId="27" xfId="0" applyFill="1" applyBorder="1" applyProtection="1">
      <protection hidden="1"/>
    </xf>
    <xf numFmtId="0" fontId="0" fillId="2" borderId="13" xfId="0" applyFill="1" applyBorder="1" applyProtection="1">
      <protection hidden="1"/>
    </xf>
    <xf numFmtId="0" fontId="0" fillId="2" borderId="28" xfId="0" applyFill="1" applyBorder="1" applyProtection="1">
      <protection hidden="1"/>
    </xf>
    <xf numFmtId="0" fontId="0" fillId="2" borderId="8" xfId="0" applyFill="1" applyBorder="1" applyProtection="1">
      <protection hidden="1"/>
    </xf>
    <xf numFmtId="0" fontId="29" fillId="2" borderId="0" xfId="0" applyFont="1" applyFill="1" applyAlignment="1" applyProtection="1">
      <alignment horizontal="right"/>
      <protection hidden="1"/>
    </xf>
    <xf numFmtId="0" fontId="30" fillId="2" borderId="0" xfId="0" applyFont="1" applyFill="1" applyAlignment="1" applyProtection="1">
      <alignment horizontal="right"/>
      <protection hidden="1"/>
    </xf>
    <xf numFmtId="0" fontId="20" fillId="2" borderId="0" xfId="0" applyFont="1" applyFill="1" applyAlignment="1" applyProtection="1">
      <alignment horizontal="right" vertical="center"/>
      <protection hidden="1"/>
    </xf>
    <xf numFmtId="0" fontId="0" fillId="2" borderId="0" xfId="0" applyFill="1" applyAlignment="1" applyProtection="1">
      <alignment vertical="center"/>
      <protection hidden="1"/>
    </xf>
    <xf numFmtId="0" fontId="15" fillId="2" borderId="0" xfId="0" applyFont="1" applyFill="1" applyAlignment="1" applyProtection="1">
      <alignment vertical="center"/>
      <protection hidden="1"/>
    </xf>
    <xf numFmtId="0" fontId="31" fillId="2" borderId="0" xfId="0" applyFont="1" applyFill="1" applyAlignment="1" applyProtection="1">
      <alignment horizontal="left" vertical="center" indent="1"/>
      <protection hidden="1"/>
    </xf>
    <xf numFmtId="0" fontId="0" fillId="2" borderId="22" xfId="0" applyFill="1" applyBorder="1" applyProtection="1">
      <protection hidden="1"/>
    </xf>
    <xf numFmtId="0" fontId="15" fillId="7" borderId="0" xfId="0" applyFont="1" applyFill="1" applyProtection="1">
      <protection hidden="1"/>
    </xf>
    <xf numFmtId="0" fontId="15" fillId="2" borderId="20" xfId="0" applyFont="1" applyFill="1" applyBorder="1" applyProtection="1">
      <protection hidden="1"/>
    </xf>
    <xf numFmtId="0" fontId="15" fillId="2" borderId="21" xfId="0" applyFont="1" applyFill="1" applyBorder="1" applyAlignment="1" applyProtection="1">
      <alignment vertical="center"/>
      <protection hidden="1"/>
    </xf>
    <xf numFmtId="0" fontId="15" fillId="2" borderId="22" xfId="0" applyFont="1" applyFill="1" applyBorder="1" applyProtection="1">
      <protection hidden="1"/>
    </xf>
    <xf numFmtId="0" fontId="15" fillId="7" borderId="0" xfId="0" applyFont="1" applyFill="1" applyAlignment="1" applyProtection="1">
      <alignment vertical="center"/>
      <protection hidden="1"/>
    </xf>
    <xf numFmtId="0" fontId="23" fillId="8" borderId="26" xfId="0" applyFont="1" applyFill="1" applyBorder="1" applyAlignment="1" applyProtection="1">
      <alignment horizontal="centerContinuous" vertical="center"/>
      <protection hidden="1"/>
    </xf>
    <xf numFmtId="0" fontId="15" fillId="2" borderId="0" xfId="0" applyFont="1" applyFill="1" applyProtection="1">
      <protection hidden="1"/>
    </xf>
    <xf numFmtId="0" fontId="15" fillId="2" borderId="8" xfId="0" applyFont="1" applyFill="1" applyBorder="1" applyProtection="1">
      <protection hidden="1"/>
    </xf>
    <xf numFmtId="0" fontId="32" fillId="2" borderId="0" xfId="0" applyFont="1" applyFill="1" applyProtection="1">
      <protection hidden="1"/>
    </xf>
    <xf numFmtId="0" fontId="20" fillId="2" borderId="0" xfId="0" applyFont="1" applyFill="1" applyProtection="1">
      <protection hidden="1"/>
    </xf>
    <xf numFmtId="0" fontId="0" fillId="7" borderId="20" xfId="0" applyFill="1" applyBorder="1" applyProtection="1">
      <protection hidden="1"/>
    </xf>
    <xf numFmtId="0" fontId="0" fillId="7" borderId="21" xfId="0" applyFill="1" applyBorder="1" applyProtection="1">
      <protection hidden="1"/>
    </xf>
    <xf numFmtId="0" fontId="0" fillId="7" borderId="21" xfId="0" applyFill="1" applyBorder="1" applyAlignment="1" applyProtection="1">
      <alignment vertical="center"/>
      <protection hidden="1"/>
    </xf>
    <xf numFmtId="0" fontId="15" fillId="7" borderId="22" xfId="0" applyFont="1" applyFill="1" applyBorder="1" applyProtection="1">
      <protection hidden="1"/>
    </xf>
    <xf numFmtId="0" fontId="0" fillId="7" borderId="0" xfId="0" applyFill="1" applyAlignment="1" applyProtection="1">
      <alignment horizontal="right" vertical="center"/>
      <protection hidden="1"/>
    </xf>
    <xf numFmtId="0" fontId="0" fillId="7" borderId="0" xfId="0" applyFill="1" applyAlignment="1" applyProtection="1">
      <alignment horizontal="center" vertical="center"/>
      <protection hidden="1"/>
    </xf>
    <xf numFmtId="0" fontId="23" fillId="2" borderId="27" xfId="0" applyFont="1" applyFill="1" applyBorder="1" applyAlignment="1" applyProtection="1">
      <alignment horizontal="centerContinuous" vertical="center"/>
      <protection hidden="1"/>
    </xf>
    <xf numFmtId="0" fontId="23" fillId="2" borderId="13" xfId="0" applyFont="1" applyFill="1" applyBorder="1" applyAlignment="1" applyProtection="1">
      <alignment horizontal="centerContinuous" vertical="center"/>
      <protection hidden="1"/>
    </xf>
    <xf numFmtId="0" fontId="23" fillId="2" borderId="28" xfId="0" applyFont="1" applyFill="1" applyBorder="1" applyAlignment="1" applyProtection="1">
      <alignment horizontal="centerContinuous" vertical="center"/>
      <protection hidden="1"/>
    </xf>
    <xf numFmtId="0" fontId="33" fillId="2" borderId="8" xfId="0" applyFont="1" applyFill="1" applyBorder="1" applyAlignment="1" applyProtection="1">
      <alignment wrapText="1"/>
      <protection hidden="1"/>
    </xf>
    <xf numFmtId="0" fontId="0" fillId="2" borderId="0" xfId="0" applyFill="1" applyAlignment="1" applyProtection="1">
      <alignment horizontal="left" vertical="center" indent="1"/>
      <protection hidden="1"/>
    </xf>
    <xf numFmtId="0" fontId="0" fillId="2" borderId="21" xfId="0" applyFill="1" applyBorder="1" applyAlignment="1" applyProtection="1">
      <alignment vertical="center"/>
      <protection hidden="1"/>
    </xf>
    <xf numFmtId="0" fontId="0" fillId="2" borderId="21" xfId="0" applyFill="1" applyBorder="1" applyAlignment="1" applyProtection="1">
      <alignment horizontal="right" vertical="center"/>
      <protection hidden="1"/>
    </xf>
    <xf numFmtId="0" fontId="0" fillId="2" borderId="21" xfId="0" applyFill="1" applyBorder="1" applyAlignment="1" applyProtection="1">
      <alignment horizontal="left" vertical="center" indent="1"/>
      <protection hidden="1"/>
    </xf>
    <xf numFmtId="0" fontId="31" fillId="2" borderId="0" xfId="0" applyFont="1" applyFill="1" applyProtection="1">
      <protection hidden="1"/>
    </xf>
    <xf numFmtId="0" fontId="32" fillId="2" borderId="0" xfId="0" applyFont="1" applyFill="1" applyAlignment="1" applyProtection="1">
      <alignment horizontal="right"/>
      <protection hidden="1"/>
    </xf>
    <xf numFmtId="4" fontId="31" fillId="2" borderId="0" xfId="0" applyNumberFormat="1" applyFont="1" applyFill="1" applyAlignment="1" applyProtection="1">
      <alignment horizontal="left"/>
      <protection hidden="1"/>
    </xf>
    <xf numFmtId="0" fontId="34" fillId="2" borderId="8" xfId="0" applyFont="1" applyFill="1" applyBorder="1" applyProtection="1">
      <protection hidden="1"/>
    </xf>
    <xf numFmtId="0" fontId="31" fillId="2" borderId="0" xfId="0" applyFont="1" applyFill="1" applyAlignment="1" applyProtection="1">
      <alignment horizontal="left"/>
      <protection hidden="1"/>
    </xf>
    <xf numFmtId="0" fontId="0" fillId="10" borderId="5" xfId="0" applyFill="1" applyBorder="1" applyProtection="1">
      <protection hidden="1"/>
    </xf>
    <xf numFmtId="0" fontId="0" fillId="7" borderId="0" xfId="0" applyFill="1" applyAlignment="1" applyProtection="1">
      <alignment horizontal="left"/>
      <protection hidden="1"/>
    </xf>
    <xf numFmtId="0" fontId="35" fillId="7" borderId="7" xfId="0" applyFont="1" applyFill="1" applyBorder="1" applyAlignment="1" applyProtection="1">
      <alignment horizontal="centerContinuous"/>
      <protection hidden="1"/>
    </xf>
    <xf numFmtId="0" fontId="19" fillId="2" borderId="6" xfId="0" applyFont="1" applyFill="1" applyBorder="1" applyProtection="1">
      <protection hidden="1"/>
    </xf>
    <xf numFmtId="0" fontId="7" fillId="7" borderId="0" xfId="0" applyFont="1" applyFill="1" applyAlignment="1" applyProtection="1">
      <alignment horizontal="center" vertical="center"/>
      <protection hidden="1"/>
    </xf>
    <xf numFmtId="3" fontId="0" fillId="2" borderId="9" xfId="0" applyNumberFormat="1" applyFill="1" applyBorder="1" applyAlignment="1" applyProtection="1">
      <alignment horizontal="center"/>
      <protection hidden="1"/>
    </xf>
    <xf numFmtId="0" fontId="0" fillId="2" borderId="9" xfId="0" applyFill="1" applyBorder="1" applyAlignment="1" applyProtection="1">
      <alignment horizontal="center"/>
      <protection hidden="1"/>
    </xf>
    <xf numFmtId="0" fontId="0" fillId="2" borderId="14" xfId="0" applyFill="1" applyBorder="1" applyAlignment="1" applyProtection="1">
      <alignment horizontal="center"/>
      <protection hidden="1"/>
    </xf>
    <xf numFmtId="0" fontId="0" fillId="7" borderId="0" xfId="0" applyFill="1" applyAlignment="1" applyProtection="1">
      <alignment horizontal="left" vertical="center"/>
      <protection hidden="1"/>
    </xf>
    <xf numFmtId="3" fontId="0" fillId="2" borderId="10" xfId="0" applyNumberFormat="1" applyFill="1" applyBorder="1" applyAlignment="1" applyProtection="1">
      <alignment horizontal="center"/>
      <protection hidden="1"/>
    </xf>
    <xf numFmtId="0" fontId="0" fillId="2" borderId="10" xfId="0" applyFill="1" applyBorder="1" applyAlignment="1" applyProtection="1">
      <alignment horizontal="center"/>
      <protection hidden="1"/>
    </xf>
    <xf numFmtId="0" fontId="0" fillId="2" borderId="16" xfId="0" applyFill="1" applyBorder="1" applyAlignment="1" applyProtection="1">
      <alignment horizontal="center"/>
      <protection hidden="1"/>
    </xf>
    <xf numFmtId="3" fontId="0" fillId="2" borderId="11" xfId="0" applyNumberFormat="1" applyFill="1" applyBorder="1" applyAlignment="1" applyProtection="1">
      <alignment horizontal="center"/>
      <protection hidden="1"/>
    </xf>
    <xf numFmtId="0" fontId="0" fillId="2" borderId="11" xfId="0" applyFill="1" applyBorder="1" applyAlignment="1" applyProtection="1">
      <alignment horizontal="center"/>
      <protection hidden="1"/>
    </xf>
    <xf numFmtId="0" fontId="0" fillId="2" borderId="18" xfId="0" applyFill="1" applyBorder="1" applyProtection="1">
      <protection hidden="1"/>
    </xf>
    <xf numFmtId="0" fontId="0" fillId="2" borderId="19" xfId="0" applyFill="1" applyBorder="1" applyAlignment="1" applyProtection="1">
      <alignment horizontal="center"/>
      <protection hidden="1"/>
    </xf>
    <xf numFmtId="0" fontId="6" fillId="7" borderId="0" xfId="0" applyFont="1" applyFill="1" applyAlignment="1" applyProtection="1">
      <alignment horizontal="center" vertical="center"/>
      <protection hidden="1"/>
    </xf>
    <xf numFmtId="0" fontId="36" fillId="7" borderId="0" xfId="0" applyFont="1" applyFill="1" applyProtection="1">
      <protection hidden="1"/>
    </xf>
    <xf numFmtId="0" fontId="0" fillId="7" borderId="30" xfId="0" applyFill="1" applyBorder="1" applyProtection="1">
      <protection hidden="1"/>
    </xf>
    <xf numFmtId="0" fontId="0" fillId="7" borderId="31" xfId="0" applyFill="1" applyBorder="1" applyProtection="1">
      <protection hidden="1"/>
    </xf>
    <xf numFmtId="0" fontId="0" fillId="7" borderId="0" xfId="0" applyFill="1" applyAlignment="1" applyProtection="1">
      <alignment horizontal="center" vertical="center" wrapText="1"/>
      <protection hidden="1"/>
    </xf>
    <xf numFmtId="0" fontId="6" fillId="7" borderId="0" xfId="0" applyFont="1" applyFill="1" applyAlignment="1" applyProtection="1">
      <alignment horizontal="center" vertical="center" wrapText="1"/>
      <protection hidden="1"/>
    </xf>
    <xf numFmtId="0" fontId="6" fillId="7" borderId="0" xfId="0" applyFont="1" applyFill="1" applyAlignment="1" applyProtection="1">
      <alignment vertical="center" wrapText="1"/>
      <protection hidden="1"/>
    </xf>
    <xf numFmtId="0" fontId="0" fillId="7" borderId="0" xfId="0" applyFill="1" applyAlignment="1" applyProtection="1">
      <alignment vertical="center"/>
      <protection hidden="1"/>
    </xf>
    <xf numFmtId="166" fontId="6" fillId="7" borderId="0" xfId="0" applyNumberFormat="1" applyFont="1" applyFill="1" applyAlignment="1" applyProtection="1">
      <alignment horizontal="left" vertical="center"/>
      <protection hidden="1"/>
    </xf>
    <xf numFmtId="0" fontId="8" fillId="7" borderId="0" xfId="0" applyFont="1" applyFill="1" applyAlignment="1" applyProtection="1">
      <alignment horizontal="center" vertical="center"/>
      <protection hidden="1"/>
    </xf>
    <xf numFmtId="9" fontId="14" fillId="0" borderId="0" xfId="2" applyFont="1" applyProtection="1">
      <protection hidden="1"/>
    </xf>
    <xf numFmtId="0" fontId="0" fillId="2" borderId="23" xfId="0" applyFill="1" applyBorder="1" applyProtection="1">
      <protection hidden="1"/>
    </xf>
    <xf numFmtId="3" fontId="0" fillId="2" borderId="23" xfId="0" applyNumberFormat="1" applyFill="1" applyBorder="1" applyProtection="1">
      <protection hidden="1"/>
    </xf>
    <xf numFmtId="170" fontId="0" fillId="2" borderId="23" xfId="0" applyNumberFormat="1" applyFill="1" applyBorder="1" applyProtection="1">
      <protection hidden="1"/>
    </xf>
    <xf numFmtId="4" fontId="0" fillId="2" borderId="23" xfId="0" applyNumberFormat="1" applyFill="1" applyBorder="1" applyProtection="1">
      <protection hidden="1"/>
    </xf>
    <xf numFmtId="0" fontId="0" fillId="2" borderId="29" xfId="0" applyFill="1" applyBorder="1" applyProtection="1">
      <protection hidden="1"/>
    </xf>
    <xf numFmtId="0" fontId="0" fillId="2" borderId="25" xfId="0" applyFill="1" applyBorder="1" applyProtection="1">
      <protection hidden="1"/>
    </xf>
    <xf numFmtId="0" fontId="0" fillId="2" borderId="26" xfId="0" applyFill="1" applyBorder="1" applyProtection="1">
      <protection hidden="1"/>
    </xf>
    <xf numFmtId="0" fontId="0" fillId="2" borderId="32" xfId="0" applyFill="1" applyBorder="1" applyProtection="1">
      <protection hidden="1"/>
    </xf>
    <xf numFmtId="0" fontId="0" fillId="2" borderId="33" xfId="0" applyFill="1" applyBorder="1" applyProtection="1">
      <protection hidden="1"/>
    </xf>
    <xf numFmtId="3" fontId="0" fillId="2" borderId="4" xfId="0" applyNumberFormat="1" applyFill="1" applyBorder="1" applyProtection="1">
      <protection hidden="1"/>
    </xf>
    <xf numFmtId="3" fontId="0" fillId="2" borderId="0" xfId="0" applyNumberFormat="1" applyFill="1" applyProtection="1">
      <protection hidden="1"/>
    </xf>
    <xf numFmtId="3" fontId="0" fillId="2" borderId="8" xfId="0" applyNumberFormat="1" applyFill="1" applyBorder="1" applyProtection="1">
      <protection hidden="1"/>
    </xf>
    <xf numFmtId="3" fontId="0" fillId="2" borderId="32" xfId="0" applyNumberFormat="1" applyFill="1" applyBorder="1" applyProtection="1">
      <protection hidden="1"/>
    </xf>
    <xf numFmtId="170" fontId="0" fillId="2" borderId="33" xfId="0" applyNumberFormat="1" applyFill="1" applyBorder="1" applyProtection="1">
      <protection hidden="1"/>
    </xf>
    <xf numFmtId="3" fontId="0" fillId="2" borderId="33" xfId="0" applyNumberFormat="1" applyFill="1" applyBorder="1" applyProtection="1">
      <protection hidden="1"/>
    </xf>
    <xf numFmtId="0" fontId="15" fillId="2" borderId="34" xfId="0" applyFont="1" applyFill="1" applyBorder="1" applyProtection="1">
      <protection hidden="1"/>
    </xf>
    <xf numFmtId="0" fontId="15" fillId="2" borderId="35" xfId="0" applyFont="1" applyFill="1" applyBorder="1" applyProtection="1">
      <protection hidden="1"/>
    </xf>
    <xf numFmtId="170" fontId="15" fillId="2" borderId="36" xfId="0" applyNumberFormat="1" applyFont="1" applyFill="1" applyBorder="1" applyProtection="1">
      <protection hidden="1"/>
    </xf>
    <xf numFmtId="170" fontId="0" fillId="2" borderId="37" xfId="0" applyNumberFormat="1" applyFill="1" applyBorder="1" applyProtection="1">
      <protection hidden="1"/>
    </xf>
    <xf numFmtId="169" fontId="0" fillId="0" borderId="0" xfId="0" applyNumberFormat="1" applyProtection="1">
      <protection hidden="1"/>
    </xf>
    <xf numFmtId="0" fontId="5" fillId="7" borderId="0" xfId="0" applyFont="1" applyFill="1" applyAlignment="1" applyProtection="1">
      <alignment vertical="center"/>
      <protection hidden="1"/>
    </xf>
    <xf numFmtId="0" fontId="37" fillId="2" borderId="0" xfId="0" applyFont="1" applyFill="1" applyAlignment="1" applyProtection="1">
      <alignment vertical="center" wrapText="1"/>
      <protection hidden="1"/>
    </xf>
    <xf numFmtId="0" fontId="37" fillId="2" borderId="4" xfId="0" applyFont="1" applyFill="1" applyBorder="1" applyAlignment="1" applyProtection="1">
      <alignment horizontal="right" vertical="center" wrapText="1"/>
      <protection hidden="1"/>
    </xf>
    <xf numFmtId="0" fontId="0" fillId="2" borderId="4" xfId="0" applyFill="1" applyBorder="1" applyAlignment="1" applyProtection="1">
      <alignment horizontal="right" vertical="center"/>
      <protection hidden="1"/>
    </xf>
    <xf numFmtId="0" fontId="23" fillId="2" borderId="4" xfId="0" applyFont="1" applyFill="1" applyBorder="1" applyAlignment="1" applyProtection="1">
      <alignment horizontal="centerContinuous" vertical="center"/>
      <protection hidden="1"/>
    </xf>
    <xf numFmtId="0" fontId="23" fillId="2" borderId="0" xfId="0" applyFont="1" applyFill="1" applyAlignment="1" applyProtection="1">
      <alignment horizontal="centerContinuous" vertical="center"/>
      <protection hidden="1"/>
    </xf>
    <xf numFmtId="0" fontId="23" fillId="2" borderId="8" xfId="0" applyFont="1" applyFill="1" applyBorder="1" applyAlignment="1" applyProtection="1">
      <alignment horizontal="centerContinuous" vertical="center"/>
      <protection hidden="1"/>
    </xf>
    <xf numFmtId="0" fontId="0" fillId="2" borderId="0" xfId="0" applyFill="1" applyAlignment="1" applyProtection="1">
      <alignment horizontal="left" vertical="center"/>
      <protection hidden="1"/>
    </xf>
    <xf numFmtId="0" fontId="18" fillId="2" borderId="0" xfId="0" applyFont="1" applyFill="1" applyAlignment="1" applyProtection="1">
      <alignment horizontal="left" vertical="center"/>
      <protection hidden="1"/>
    </xf>
    <xf numFmtId="0" fontId="38" fillId="7" borderId="18" xfId="0" applyFont="1" applyFill="1" applyBorder="1" applyProtection="1">
      <protection hidden="1"/>
    </xf>
    <xf numFmtId="0" fontId="0" fillId="0" borderId="0" xfId="0" applyProtection="1">
      <protection locked="0"/>
    </xf>
    <xf numFmtId="0" fontId="20" fillId="7" borderId="0" xfId="0" applyFont="1" applyFill="1" applyProtection="1">
      <protection hidden="1"/>
    </xf>
    <xf numFmtId="0" fontId="18" fillId="9" borderId="0" xfId="0" applyFont="1" applyFill="1" applyAlignment="1" applyProtection="1">
      <alignment horizontal="right" vertical="center"/>
      <protection hidden="1"/>
    </xf>
    <xf numFmtId="0" fontId="0" fillId="9" borderId="0" xfId="0" applyFill="1" applyAlignment="1" applyProtection="1">
      <alignment horizontal="right" vertical="center"/>
      <protection hidden="1"/>
    </xf>
    <xf numFmtId="0" fontId="33" fillId="2" borderId="0" xfId="0" applyFont="1" applyFill="1" applyAlignment="1" applyProtection="1">
      <alignment horizontal="right" vertical="center"/>
      <protection hidden="1"/>
    </xf>
    <xf numFmtId="0" fontId="23" fillId="8" borderId="29" xfId="0" applyFont="1" applyFill="1" applyBorder="1" applyAlignment="1" applyProtection="1">
      <alignment horizontal="centerContinuous" vertical="center"/>
      <protection hidden="1"/>
    </xf>
    <xf numFmtId="0" fontId="30" fillId="2" borderId="18" xfId="0" applyFont="1" applyFill="1" applyBorder="1" applyProtection="1">
      <protection hidden="1"/>
    </xf>
    <xf numFmtId="0" fontId="30" fillId="2" borderId="0" xfId="0" applyFont="1" applyFill="1" applyAlignment="1" applyProtection="1">
      <alignment horizontal="right" vertical="center"/>
      <protection hidden="1"/>
    </xf>
    <xf numFmtId="0" fontId="31" fillId="2" borderId="0" xfId="0" applyFont="1" applyFill="1" applyAlignment="1" applyProtection="1">
      <alignment horizontal="right" vertical="center"/>
      <protection hidden="1"/>
    </xf>
    <xf numFmtId="0" fontId="0" fillId="2" borderId="21" xfId="0" applyFill="1" applyBorder="1" applyAlignment="1" applyProtection="1">
      <alignment horizontal="right" vertical="top"/>
      <protection hidden="1"/>
    </xf>
    <xf numFmtId="0" fontId="39" fillId="2" borderId="0" xfId="0" applyFont="1" applyFill="1" applyAlignment="1" applyProtection="1">
      <alignment horizontal="right"/>
      <protection hidden="1"/>
    </xf>
    <xf numFmtId="0" fontId="40" fillId="2" borderId="0" xfId="0" applyFont="1" applyFill="1" applyAlignment="1" applyProtection="1">
      <alignment horizontal="right" vertical="center"/>
      <protection hidden="1"/>
    </xf>
    <xf numFmtId="0" fontId="16" fillId="10" borderId="6" xfId="0" applyFont="1" applyFill="1" applyBorder="1" applyAlignment="1" applyProtection="1">
      <alignment horizontal="right"/>
      <protection hidden="1"/>
    </xf>
    <xf numFmtId="0" fontId="41" fillId="7" borderId="18" xfId="0" applyFont="1" applyFill="1" applyBorder="1" applyProtection="1">
      <protection hidden="1"/>
    </xf>
    <xf numFmtId="0" fontId="35" fillId="7" borderId="5" xfId="0" applyFont="1" applyFill="1" applyBorder="1" applyAlignment="1" applyProtection="1">
      <alignment horizontal="centerContinuous"/>
      <protection hidden="1"/>
    </xf>
    <xf numFmtId="0" fontId="19" fillId="2" borderId="23" xfId="0" applyFont="1" applyFill="1" applyBorder="1" applyProtection="1">
      <protection hidden="1"/>
    </xf>
    <xf numFmtId="0" fontId="19" fillId="2" borderId="23" xfId="0" applyFont="1" applyFill="1" applyBorder="1" applyAlignment="1" applyProtection="1">
      <alignment horizontal="center"/>
      <protection hidden="1"/>
    </xf>
    <xf numFmtId="0" fontId="19" fillId="2" borderId="7" xfId="0" applyFont="1" applyFill="1" applyBorder="1" applyProtection="1">
      <protection hidden="1"/>
    </xf>
    <xf numFmtId="0" fontId="32" fillId="2" borderId="9" xfId="0" applyFont="1" applyFill="1" applyBorder="1" applyProtection="1">
      <protection hidden="1"/>
    </xf>
    <xf numFmtId="0" fontId="32" fillId="2" borderId="10" xfId="0" applyFont="1" applyFill="1" applyBorder="1" applyProtection="1">
      <protection hidden="1"/>
    </xf>
    <xf numFmtId="0" fontId="32" fillId="2" borderId="11" xfId="0" applyFont="1" applyFill="1" applyBorder="1" applyProtection="1">
      <protection hidden="1"/>
    </xf>
    <xf numFmtId="0" fontId="36" fillId="7" borderId="0" xfId="0" applyFont="1" applyFill="1" applyAlignment="1" applyProtection="1">
      <alignment horizontal="center"/>
      <protection hidden="1"/>
    </xf>
    <xf numFmtId="0" fontId="32" fillId="2" borderId="13" xfId="0" applyFont="1" applyFill="1" applyBorder="1" applyProtection="1">
      <protection hidden="1"/>
    </xf>
    <xf numFmtId="0" fontId="32" fillId="2" borderId="18" xfId="0" applyFont="1" applyFill="1" applyBorder="1" applyProtection="1">
      <protection hidden="1"/>
    </xf>
    <xf numFmtId="0" fontId="0" fillId="2" borderId="0" xfId="0" applyFill="1" applyProtection="1">
      <protection locked="0" hidden="1"/>
    </xf>
    <xf numFmtId="0" fontId="34" fillId="2" borderId="0" xfId="0" applyFont="1" applyFill="1" applyAlignment="1" applyProtection="1">
      <alignment horizontal="center" vertical="center"/>
      <protection locked="0" hidden="1"/>
    </xf>
    <xf numFmtId="0" fontId="25" fillId="11" borderId="23" xfId="0" applyFont="1" applyFill="1" applyBorder="1" applyAlignment="1" applyProtection="1">
      <alignment horizontal="left" vertical="center" indent="3"/>
      <protection locked="0" hidden="1"/>
    </xf>
    <xf numFmtId="0" fontId="25" fillId="11" borderId="23" xfId="0" applyFont="1" applyFill="1" applyBorder="1" applyAlignment="1" applyProtection="1">
      <alignment horizontal="left" vertical="center" indent="1"/>
      <protection locked="0" hidden="1"/>
    </xf>
    <xf numFmtId="0" fontId="25" fillId="11" borderId="23" xfId="0" applyFont="1" applyFill="1" applyBorder="1" applyAlignment="1" applyProtection="1">
      <alignment horizontal="left" vertical="center" indent="2"/>
      <protection locked="0" hidden="1"/>
    </xf>
    <xf numFmtId="0" fontId="0" fillId="11" borderId="23" xfId="0" applyFill="1" applyBorder="1" applyAlignment="1" applyProtection="1">
      <alignment horizontal="left" vertical="center" indent="2"/>
      <protection locked="0" hidden="1"/>
    </xf>
    <xf numFmtId="0" fontId="42" fillId="7" borderId="21" xfId="0" applyFont="1" applyFill="1" applyBorder="1" applyProtection="1">
      <protection locked="0" hidden="1"/>
    </xf>
    <xf numFmtId="0" fontId="0" fillId="0" borderId="0" xfId="0" applyProtection="1">
      <protection locked="0" hidden="1"/>
    </xf>
    <xf numFmtId="168" fontId="40" fillId="11" borderId="23" xfId="2" applyNumberFormat="1" applyFont="1" applyFill="1" applyBorder="1" applyAlignment="1" applyProtection="1">
      <alignment horizontal="right" vertical="center" indent="1"/>
      <protection locked="0" hidden="1"/>
    </xf>
    <xf numFmtId="172" fontId="0" fillId="0" borderId="0" xfId="0" applyNumberFormat="1" applyProtection="1">
      <protection hidden="1"/>
    </xf>
    <xf numFmtId="0" fontId="0" fillId="0" borderId="0" xfId="0" applyAlignment="1" applyProtection="1">
      <alignment horizontal="left"/>
      <protection hidden="1"/>
    </xf>
    <xf numFmtId="172" fontId="14" fillId="0" borderId="0" xfId="2" applyNumberFormat="1" applyFont="1" applyProtection="1">
      <protection hidden="1"/>
    </xf>
    <xf numFmtId="168" fontId="14" fillId="0" borderId="0" xfId="2" applyNumberFormat="1" applyFont="1" applyProtection="1">
      <protection hidden="1"/>
    </xf>
    <xf numFmtId="164" fontId="16" fillId="10" borderId="7" xfId="0" applyNumberFormat="1" applyFont="1" applyFill="1" applyBorder="1" applyAlignment="1" applyProtection="1">
      <alignment horizontal="right"/>
      <protection hidden="1"/>
    </xf>
    <xf numFmtId="164" fontId="32" fillId="2" borderId="0" xfId="0" applyNumberFormat="1" applyFont="1" applyFill="1" applyAlignment="1" applyProtection="1">
      <alignment horizontal="right"/>
      <protection hidden="1"/>
    </xf>
    <xf numFmtId="0" fontId="43" fillId="2" borderId="0" xfId="0" applyFont="1" applyFill="1" applyAlignment="1" applyProtection="1">
      <alignment horizontal="left" vertical="center"/>
      <protection hidden="1"/>
    </xf>
    <xf numFmtId="0" fontId="44" fillId="2" borderId="0" xfId="0" applyFont="1" applyFill="1" applyAlignment="1" applyProtection="1">
      <alignment horizontal="center" vertical="center"/>
      <protection hidden="1"/>
    </xf>
    <xf numFmtId="1" fontId="44" fillId="2" borderId="0" xfId="0" applyNumberFormat="1" applyFont="1" applyFill="1" applyAlignment="1" applyProtection="1">
      <alignment horizontal="center" vertical="center"/>
      <protection hidden="1"/>
    </xf>
    <xf numFmtId="0" fontId="18" fillId="7" borderId="24" xfId="0" applyFont="1" applyFill="1" applyBorder="1" applyProtection="1">
      <protection hidden="1"/>
    </xf>
    <xf numFmtId="0" fontId="0" fillId="7" borderId="38" xfId="0" applyFill="1" applyBorder="1" applyAlignment="1" applyProtection="1">
      <alignment horizontal="center" vertical="top"/>
      <protection hidden="1"/>
    </xf>
    <xf numFmtId="0" fontId="6" fillId="7" borderId="0" xfId="0" applyFont="1" applyFill="1" applyAlignment="1" applyProtection="1">
      <alignment horizontal="left" vertical="center" wrapText="1"/>
      <protection hidden="1"/>
    </xf>
    <xf numFmtId="0" fontId="45" fillId="0" borderId="5" xfId="0" applyFont="1" applyBorder="1"/>
    <xf numFmtId="0" fontId="45" fillId="0" borderId="6" xfId="0" applyFont="1" applyBorder="1"/>
    <xf numFmtId="0" fontId="45" fillId="0" borderId="7" xfId="0" applyFont="1" applyBorder="1"/>
    <xf numFmtId="0" fontId="0" fillId="0" borderId="12" xfId="0" applyBorder="1"/>
    <xf numFmtId="0" fontId="0" fillId="0" borderId="13" xfId="0" applyBorder="1"/>
    <xf numFmtId="0" fontId="0" fillId="0" borderId="14" xfId="0" applyBorder="1"/>
    <xf numFmtId="0" fontId="0" fillId="0" borderId="15" xfId="0" applyBorder="1"/>
    <xf numFmtId="3" fontId="0" fillId="0" borderId="0" xfId="0" quotePrefix="1" applyNumberFormat="1"/>
    <xf numFmtId="0" fontId="0" fillId="0" borderId="16" xfId="0" applyBorder="1"/>
    <xf numFmtId="0" fontId="45" fillId="0" borderId="23" xfId="0" applyFont="1" applyBorder="1"/>
    <xf numFmtId="0" fontId="0" fillId="0" borderId="9" xfId="0" applyBorder="1"/>
    <xf numFmtId="0" fontId="0" fillId="0" borderId="10" xfId="0" applyBorder="1"/>
    <xf numFmtId="0" fontId="45" fillId="0" borderId="5" xfId="0" applyFont="1" applyBorder="1" applyAlignment="1">
      <alignment wrapText="1"/>
    </xf>
    <xf numFmtId="0" fontId="45" fillId="0" borderId="6" xfId="0" applyFont="1" applyBorder="1" applyAlignment="1">
      <alignment wrapText="1"/>
    </xf>
    <xf numFmtId="0" fontId="45" fillId="0" borderId="7" xfId="0" applyFont="1" applyBorder="1" applyAlignment="1">
      <alignment wrapText="1"/>
    </xf>
    <xf numFmtId="167" fontId="33" fillId="2" borderId="0" xfId="0" applyNumberFormat="1" applyFont="1" applyFill="1" applyAlignment="1" applyProtection="1">
      <alignment horizontal="left" vertical="center" indent="1"/>
      <protection hidden="1"/>
    </xf>
    <xf numFmtId="0" fontId="0" fillId="0" borderId="0" xfId="0" quotePrefix="1"/>
    <xf numFmtId="171" fontId="0" fillId="0" borderId="0" xfId="0" applyNumberFormat="1"/>
    <xf numFmtId="0" fontId="0" fillId="12" borderId="39" xfId="0" applyFill="1" applyBorder="1" applyAlignment="1" applyProtection="1">
      <alignment horizontal="center" vertical="center"/>
      <protection locked="0" hidden="1"/>
    </xf>
    <xf numFmtId="0" fontId="46" fillId="2" borderId="0" xfId="0" applyFont="1" applyFill="1" applyAlignment="1" applyProtection="1">
      <alignment horizontal="center"/>
      <protection locked="0" hidden="1"/>
    </xf>
    <xf numFmtId="14" fontId="0" fillId="11" borderId="23" xfId="0" applyNumberFormat="1" applyFill="1" applyBorder="1" applyAlignment="1" applyProtection="1">
      <alignment vertical="center"/>
      <protection locked="0" hidden="1"/>
    </xf>
    <xf numFmtId="49" fontId="0" fillId="0" borderId="0" xfId="0" applyNumberFormat="1" applyProtection="1">
      <protection hidden="1"/>
    </xf>
    <xf numFmtId="168" fontId="0" fillId="0" borderId="0" xfId="2" applyNumberFormat="1" applyFont="1" applyProtection="1">
      <protection hidden="1"/>
    </xf>
    <xf numFmtId="166" fontId="0" fillId="2" borderId="0" xfId="0" applyNumberFormat="1" applyFill="1" applyAlignment="1" applyProtection="1">
      <alignment horizontal="right" vertical="center"/>
      <protection locked="0" hidden="1"/>
    </xf>
    <xf numFmtId="0" fontId="42" fillId="7" borderId="0" xfId="0" applyFont="1" applyFill="1" applyProtection="1">
      <protection hidden="1"/>
    </xf>
    <xf numFmtId="0" fontId="6" fillId="7" borderId="0" xfId="0" applyFont="1" applyFill="1" applyAlignment="1" applyProtection="1">
      <alignment horizontal="left" vertical="center" wrapText="1"/>
      <protection hidden="1"/>
    </xf>
    <xf numFmtId="0" fontId="6" fillId="7" borderId="0" xfId="0" applyFont="1" applyFill="1" applyAlignment="1" applyProtection="1">
      <alignment horizontal="center" vertical="center" wrapText="1"/>
      <protection hidden="1"/>
    </xf>
    <xf numFmtId="0" fontId="0" fillId="7" borderId="0" xfId="0" applyFill="1" applyAlignment="1" applyProtection="1">
      <alignment horizontal="center" vertical="center"/>
      <protection hidden="1"/>
    </xf>
    <xf numFmtId="0" fontId="5" fillId="7" borderId="0" xfId="0" applyFont="1" applyFill="1" applyAlignment="1" applyProtection="1">
      <alignment vertical="center"/>
      <protection hidden="1"/>
    </xf>
    <xf numFmtId="49" fontId="0" fillId="11" borderId="5" xfId="0" applyNumberFormat="1" applyFill="1" applyBorder="1" applyAlignment="1" applyProtection="1">
      <alignment horizontal="center" vertical="center"/>
      <protection locked="0" hidden="1"/>
    </xf>
    <xf numFmtId="49" fontId="0" fillId="11" borderId="7" xfId="0" applyNumberFormat="1" applyFill="1" applyBorder="1" applyAlignment="1" applyProtection="1">
      <alignment horizontal="center" vertical="center"/>
      <protection locked="0" hidden="1"/>
    </xf>
    <xf numFmtId="0" fontId="47" fillId="7" borderId="9" xfId="0" applyFont="1" applyFill="1" applyBorder="1" applyAlignment="1" applyProtection="1">
      <alignment horizontal="center" vertical="center" textRotation="90" wrapText="1"/>
      <protection hidden="1"/>
    </xf>
    <xf numFmtId="0" fontId="47" fillId="7" borderId="10" xfId="0" applyFont="1" applyFill="1" applyBorder="1" applyAlignment="1" applyProtection="1">
      <alignment horizontal="center" vertical="center" textRotation="90" wrapText="1"/>
      <protection hidden="1"/>
    </xf>
    <xf numFmtId="0" fontId="47" fillId="7" borderId="11" xfId="0" applyFont="1" applyFill="1" applyBorder="1" applyAlignment="1" applyProtection="1">
      <alignment horizontal="center" vertical="center" textRotation="90" wrapText="1"/>
      <protection hidden="1"/>
    </xf>
    <xf numFmtId="3" fontId="0" fillId="11" borderId="12" xfId="0" applyNumberFormat="1" applyFill="1" applyBorder="1" applyAlignment="1" applyProtection="1">
      <alignment horizontal="justify" vertical="top" wrapText="1"/>
      <protection locked="0" hidden="1"/>
    </xf>
    <xf numFmtId="0" fontId="0" fillId="11" borderId="13" xfId="0" applyFill="1" applyBorder="1" applyAlignment="1" applyProtection="1">
      <alignment horizontal="justify" vertical="top" wrapText="1"/>
      <protection locked="0" hidden="1"/>
    </xf>
    <xf numFmtId="0" fontId="0" fillId="11" borderId="14" xfId="0" applyFill="1" applyBorder="1" applyAlignment="1" applyProtection="1">
      <alignment horizontal="justify" vertical="top" wrapText="1"/>
      <protection locked="0" hidden="1"/>
    </xf>
    <xf numFmtId="0" fontId="0" fillId="11" borderId="15" xfId="0" applyFill="1" applyBorder="1" applyAlignment="1" applyProtection="1">
      <alignment horizontal="justify" vertical="top" wrapText="1"/>
      <protection locked="0" hidden="1"/>
    </xf>
    <xf numFmtId="0" fontId="0" fillId="11" borderId="0" xfId="0" applyFill="1" applyAlignment="1" applyProtection="1">
      <alignment horizontal="justify" vertical="top" wrapText="1"/>
      <protection locked="0" hidden="1"/>
    </xf>
    <xf numFmtId="0" fontId="0" fillId="11" borderId="16" xfId="0" applyFill="1" applyBorder="1" applyAlignment="1" applyProtection="1">
      <alignment horizontal="justify" vertical="top" wrapText="1"/>
      <protection locked="0" hidden="1"/>
    </xf>
    <xf numFmtId="0" fontId="0" fillId="11" borderId="17" xfId="0" applyFill="1" applyBorder="1" applyAlignment="1" applyProtection="1">
      <alignment horizontal="justify" vertical="top" wrapText="1"/>
      <protection locked="0" hidden="1"/>
    </xf>
    <xf numFmtId="0" fontId="0" fillId="11" borderId="18" xfId="0" applyFill="1" applyBorder="1" applyAlignment="1" applyProtection="1">
      <alignment horizontal="justify" vertical="top" wrapText="1"/>
      <protection locked="0" hidden="1"/>
    </xf>
    <xf numFmtId="0" fontId="0" fillId="11" borderId="19" xfId="0" applyFill="1" applyBorder="1" applyAlignment="1" applyProtection="1">
      <alignment horizontal="justify" vertical="top" wrapText="1"/>
      <protection locked="0" hidden="1"/>
    </xf>
    <xf numFmtId="0" fontId="0" fillId="11" borderId="5" xfId="0" applyFill="1" applyBorder="1" applyAlignment="1" applyProtection="1">
      <alignment horizontal="center" vertical="center"/>
      <protection locked="0" hidden="1"/>
    </xf>
    <xf numFmtId="0" fontId="0" fillId="11" borderId="7" xfId="0" applyFill="1" applyBorder="1" applyAlignment="1" applyProtection="1">
      <alignment horizontal="center" vertical="center"/>
      <protection locked="0" hidden="1"/>
    </xf>
  </cellXfs>
  <cellStyles count="3">
    <cellStyle name="Normal" xfId="0" builtinId="0"/>
    <cellStyle name="Normál 2" xfId="1" xr:uid="{00000000-0005-0000-0000-000001000000}"/>
    <cellStyle name="Percent" xfId="2" builtinId="5"/>
  </cellStyles>
  <dxfs count="12">
    <dxf>
      <font>
        <strike val="0"/>
        <color rgb="FFFF0000"/>
      </font>
    </dxf>
    <dxf>
      <fill>
        <patternFill>
          <bgColor theme="0"/>
        </patternFill>
      </fill>
      <border>
        <left style="thin">
          <color indexed="64"/>
        </left>
        <right style="thin">
          <color indexed="64"/>
        </right>
        <top style="thin">
          <color indexed="64"/>
        </top>
        <bottom style="thin">
          <color indexed="64"/>
        </bottom>
      </border>
    </dxf>
    <dxf>
      <fill>
        <patternFill>
          <bgColor theme="0"/>
        </patternFill>
      </fill>
      <border>
        <left style="thin">
          <color indexed="64"/>
        </left>
        <right style="thin">
          <color indexed="64"/>
        </right>
        <top style="thin">
          <color indexed="64"/>
        </top>
        <bottom style="thin">
          <color indexed="64"/>
        </bottom>
      </border>
    </dxf>
    <dxf>
      <fill>
        <patternFill>
          <bgColor theme="0"/>
        </patternFill>
      </fill>
      <border>
        <left style="thin">
          <color indexed="64"/>
        </left>
        <right style="thin">
          <color indexed="64"/>
        </right>
        <top style="thin">
          <color indexed="64"/>
        </top>
        <bottom style="thin">
          <color indexed="64"/>
        </bottom>
      </border>
    </dxf>
    <dxf>
      <fill>
        <patternFill>
          <bgColor theme="0"/>
        </patternFill>
      </fill>
      <border>
        <left style="thin">
          <color indexed="64"/>
        </left>
        <right style="thin">
          <color indexed="64"/>
        </right>
        <top style="thin">
          <color indexed="64"/>
        </top>
        <bottom style="thin">
          <color indexed="64"/>
        </bottom>
      </border>
    </dxf>
    <dxf>
      <fill>
        <patternFill>
          <bgColor theme="0"/>
        </patternFill>
      </fill>
      <border>
        <left style="thin">
          <color indexed="64"/>
        </left>
        <right style="thin">
          <color indexed="64"/>
        </right>
        <top style="thin">
          <color indexed="64"/>
        </top>
        <bottom style="thin">
          <color indexed="64"/>
        </bottom>
      </border>
    </dxf>
    <dxf>
      <fill>
        <patternFill>
          <bgColor theme="0"/>
        </patternFill>
      </fill>
      <border>
        <left style="thin">
          <color indexed="64"/>
        </left>
        <right style="thin">
          <color indexed="64"/>
        </right>
        <top style="thin">
          <color indexed="64"/>
        </top>
        <bottom style="thin">
          <color indexed="64"/>
        </bottom>
      </border>
    </dxf>
    <dxf>
      <font>
        <b/>
        <i val="0"/>
        <u/>
      </font>
    </dxf>
    <dxf>
      <font>
        <b/>
        <i val="0"/>
        <u/>
      </font>
    </dxf>
    <dxf>
      <font>
        <b/>
        <i val="0"/>
        <u/>
      </font>
    </dxf>
    <dxf>
      <fill>
        <patternFill>
          <bgColor theme="0"/>
        </patternFill>
      </fill>
      <border>
        <left style="thin">
          <color indexed="64"/>
        </left>
        <right style="thin">
          <color indexed="64"/>
        </right>
        <top style="thin">
          <color indexed="64"/>
        </top>
        <bottom style="thin">
          <color indexed="64"/>
        </bottom>
      </border>
    </dxf>
    <dxf>
      <font>
        <color theme="1"/>
      </font>
      <fill>
        <patternFill>
          <bgColor theme="0"/>
        </patternFill>
      </fill>
      <border>
        <left style="thin">
          <color indexed="64"/>
        </left>
        <right style="thin">
          <color indexed="64"/>
        </right>
        <top style="thin">
          <color indexed="64"/>
        </top>
        <bottom style="thin">
          <color indexed="64"/>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trlProps/ctrlProp1.xml><?xml version="1.0" encoding="utf-8"?>
<formControlPr xmlns="http://schemas.microsoft.com/office/spreadsheetml/2009/9/main" objectType="Drop" dropLines="2" dropStyle="combo" dx="22" fmlaLink="D16" fmlaRange="powdercoating!$B$2:$B$3" sel="1" val="0"/>
</file>

<file path=xl/ctrlProps/ctrlProp10.xml><?xml version="1.0" encoding="utf-8"?>
<formControlPr xmlns="http://schemas.microsoft.com/office/spreadsheetml/2009/9/main" objectType="Spin" dx="15" fmlaLink="$J$29" max="10" page="10" val="0"/>
</file>

<file path=xl/ctrlProps/ctrlProp11.xml><?xml version="1.0" encoding="utf-8"?>
<formControlPr xmlns="http://schemas.microsoft.com/office/spreadsheetml/2009/9/main" objectType="Spin" dx="15" fmlaLink="$K$29" inc="10" max="850" min="250" page="10" val="500"/>
</file>

<file path=xl/ctrlProps/ctrlProp12.xml><?xml version="1.0" encoding="utf-8"?>
<formControlPr xmlns="http://schemas.microsoft.com/office/spreadsheetml/2009/9/main" objectType="Spin" dx="15" fmlaLink="$K$18" max="10" min="1" page="10" val="3"/>
</file>

<file path=xl/ctrlProps/ctrlProp13.xml><?xml version="1.0" encoding="utf-8"?>
<formControlPr xmlns="http://schemas.microsoft.com/office/spreadsheetml/2009/9/main" objectType="Drop" dropLines="2" dropStyle="combo" dx="22" fmlaLink="D25" fmlaRange="glassing!$B$2:$B$3" sel="1" val="0"/>
</file>

<file path=xl/ctrlProps/ctrlProp14.xml><?xml version="1.0" encoding="utf-8"?>
<formControlPr xmlns="http://schemas.microsoft.com/office/spreadsheetml/2009/9/main" objectType="Drop" dropLines="5" dropStyle="combo" dx="22" fmlaLink="D27" fmlaRange="plexi!$B$2:$B$6" sel="1" val="0"/>
</file>

<file path=xl/ctrlProps/ctrlProp15.xml><?xml version="1.0" encoding="utf-8"?>
<formControlPr xmlns="http://schemas.microsoft.com/office/spreadsheetml/2009/9/main" objectType="Drop" dropLines="3" dropStyle="combo" dx="22" fmlaLink="$D$20" fmlaRange="parity!$B$2:$B$4" sel="1" val="0"/>
</file>

<file path=xl/ctrlProps/ctrlProp16.xml><?xml version="1.0" encoding="utf-8"?>
<formControlPr xmlns="http://schemas.microsoft.com/office/spreadsheetml/2009/9/main" objectType="Drop" dropLines="2" dropStyle="combo" dx="22" fmlaLink="$D$31" fmlaRange="lath!$B$2:$B$3" sel="1" val="0"/>
</file>

<file path=xl/ctrlProps/ctrlProp17.xml><?xml version="1.0" encoding="utf-8"?>
<formControlPr xmlns="http://schemas.microsoft.com/office/spreadsheetml/2009/9/main" objectType="Drop" dropLines="2" dropStyle="combo" dx="22" fmlaLink="$D$38" fmlaRange="alubond!$B$2:$B$2" sel="1" val="0"/>
</file>

<file path=xl/ctrlProps/ctrlProp18.xml><?xml version="1.0" encoding="utf-8"?>
<formControlPr xmlns="http://schemas.microsoft.com/office/spreadsheetml/2009/9/main" objectType="CheckBox" fmlaLink="$D$41" lockText="1"/>
</file>

<file path=xl/ctrlProps/ctrlProp19.xml><?xml version="1.0" encoding="utf-8"?>
<formControlPr xmlns="http://schemas.microsoft.com/office/spreadsheetml/2009/9/main" objectType="CheckBox" fmlaLink="$F$41" lockText="1"/>
</file>

<file path=xl/ctrlProps/ctrlProp2.xml><?xml version="1.0" encoding="utf-8"?>
<formControlPr xmlns="http://schemas.microsoft.com/office/spreadsheetml/2009/9/main" objectType="Drop" dropLines="4" dropStyle="combo" dx="22" fmlaLink="D14" fmlaRange="paneltypes!$B$2:$B$5" sel="1" val="0"/>
</file>

<file path=xl/ctrlProps/ctrlProp20.xml><?xml version="1.0" encoding="utf-8"?>
<formControlPr xmlns="http://schemas.microsoft.com/office/spreadsheetml/2009/9/main" objectType="CheckBox" fmlaLink="$J$41" lockText="1"/>
</file>

<file path=xl/ctrlProps/ctrlProp21.xml><?xml version="1.0" encoding="utf-8"?>
<formControlPr xmlns="http://schemas.microsoft.com/office/spreadsheetml/2009/9/main" objectType="CheckBox" fmlaLink="paneltypes!$C$10" lockText="1"/>
</file>

<file path=xl/ctrlProps/ctrlProp22.xml><?xml version="1.0" encoding="utf-8"?>
<formControlPr xmlns="http://schemas.microsoft.com/office/spreadsheetml/2009/9/main" objectType="CheckBox" fmlaLink="paneltypes!$C$11" lockText="1"/>
</file>

<file path=xl/ctrlProps/ctrlProp23.xml><?xml version="1.0" encoding="utf-8"?>
<formControlPr xmlns="http://schemas.microsoft.com/office/spreadsheetml/2009/9/main" objectType="CheckBox" fmlaLink="paneltypes!$C$12" lockText="1"/>
</file>

<file path=xl/ctrlProps/ctrlProp24.xml><?xml version="1.0" encoding="utf-8"?>
<formControlPr xmlns="http://schemas.microsoft.com/office/spreadsheetml/2009/9/main" objectType="CheckBox" fmlaLink="paneltypes!$C$13" lockText="1"/>
</file>

<file path=xl/ctrlProps/ctrlProp25.xml><?xml version="1.0" encoding="utf-8"?>
<formControlPr xmlns="http://schemas.microsoft.com/office/spreadsheetml/2009/9/main" objectType="CheckBox" checked="Checked" fmlaLink="paneltypes!$C$14" lockText="1"/>
</file>

<file path=xl/ctrlProps/ctrlProp26.xml><?xml version="1.0" encoding="utf-8"?>
<formControlPr xmlns="http://schemas.microsoft.com/office/spreadsheetml/2009/9/main" objectType="Drop" dropLines="3" dropStyle="combo" dx="22" fmlaLink="languages!$B$8" fmlaRange="languages!$A$1:$A$3" sel="1" val="0"/>
</file>

<file path=xl/ctrlProps/ctrlProp27.xml><?xml version="1.0" encoding="utf-8"?>
<formControlPr xmlns="http://schemas.microsoft.com/office/spreadsheetml/2009/9/main" objectType="Drop" dropLines="4" dropStyle="combo" dx="22" fmlaLink="$D$58" fmlaRange="passdoor!$B$2:$B$5" sel="1" val="0"/>
</file>

<file path=xl/ctrlProps/ctrlProp3.xml><?xml version="1.0" encoding="utf-8"?>
<formControlPr xmlns="http://schemas.microsoft.com/office/spreadsheetml/2009/9/main" objectType="Spin" dx="15" fmlaLink="$K$10" max="100" min="1" page="10"/>
</file>

<file path=xl/ctrlProps/ctrlProp4.xml><?xml version="1.0" encoding="utf-8"?>
<formControlPr xmlns="http://schemas.microsoft.com/office/spreadsheetml/2009/9/main" objectType="Spin" dx="15" fmlaLink="$K$12" inc="10" max="7200" min="1000" page="10" val="3000"/>
</file>

<file path=xl/ctrlProps/ctrlProp5.xml><?xml version="1.0" encoding="utf-8"?>
<formControlPr xmlns="http://schemas.microsoft.com/office/spreadsheetml/2009/9/main" objectType="Spin" dx="15" fmlaLink="$K$14" max="150" page="10" val="0"/>
</file>

<file path=xl/ctrlProps/ctrlProp6.xml><?xml version="1.0" encoding="utf-8"?>
<formControlPr xmlns="http://schemas.microsoft.com/office/spreadsheetml/2009/9/main" objectType="Spin" dx="15" fmlaLink="$J$25" max="10" page="10" val="0"/>
</file>

<file path=xl/ctrlProps/ctrlProp7.xml><?xml version="1.0" encoding="utf-8"?>
<formControlPr xmlns="http://schemas.microsoft.com/office/spreadsheetml/2009/9/main" objectType="Spin" dx="15" fmlaLink="$K$25" inc="10" max="850" min="250" page="10" val="500"/>
</file>

<file path=xl/ctrlProps/ctrlProp8.xml><?xml version="1.0" encoding="utf-8"?>
<formControlPr xmlns="http://schemas.microsoft.com/office/spreadsheetml/2009/9/main" objectType="Spin" dx="15" fmlaLink="$J$27" max="15" page="10" val="0"/>
</file>

<file path=xl/ctrlProps/ctrlProp9.xml><?xml version="1.0" encoding="utf-8"?>
<formControlPr xmlns="http://schemas.microsoft.com/office/spreadsheetml/2009/9/main" objectType="Spin" dx="15" fmlaLink="$K$27" inc="10" max="850" min="250" page="10" val="500"/>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absolute">
    <xdr:from>
      <xdr:col>1</xdr:col>
      <xdr:colOff>9525</xdr:colOff>
      <xdr:row>1</xdr:row>
      <xdr:rowOff>9525</xdr:rowOff>
    </xdr:from>
    <xdr:to>
      <xdr:col>2</xdr:col>
      <xdr:colOff>19050</xdr:colOff>
      <xdr:row>2</xdr:row>
      <xdr:rowOff>0</xdr:rowOff>
    </xdr:to>
    <xdr:pic>
      <xdr:nvPicPr>
        <xdr:cNvPr id="48800" name="Picture 34" descr="FF_Solo">
          <a:extLst>
            <a:ext uri="{FF2B5EF4-FFF2-40B4-BE49-F238E27FC236}">
              <a16:creationId xmlns:a16="http://schemas.microsoft.com/office/drawing/2014/main" id="{00000000-0008-0000-0000-0000A0BE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85725"/>
          <a:ext cx="685800" cy="523875"/>
        </a:xfrm>
        <a:prstGeom prst="rect">
          <a:avLst/>
        </a:prstGeom>
        <a:noFill/>
        <a:ln>
          <a:noFill/>
        </a:ln>
        <a:effectLst>
          <a:outerShdw sx="999" sy="999" algn="ctr" rotWithShape="0">
            <a:srgbClr val="000000"/>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85725</xdr:colOff>
      <xdr:row>5</xdr:row>
      <xdr:rowOff>19050</xdr:rowOff>
    </xdr:from>
    <xdr:to>
      <xdr:col>19</xdr:col>
      <xdr:colOff>2390775</xdr:colOff>
      <xdr:row>32</xdr:row>
      <xdr:rowOff>114300</xdr:rowOff>
    </xdr:to>
    <xdr:pic>
      <xdr:nvPicPr>
        <xdr:cNvPr id="48801" name="Picture 22">
          <a:extLst>
            <a:ext uri="{FF2B5EF4-FFF2-40B4-BE49-F238E27FC236}">
              <a16:creationId xmlns:a16="http://schemas.microsoft.com/office/drawing/2014/main" id="{00000000-0008-0000-0000-0000A1BE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72600" y="1066800"/>
          <a:ext cx="10772775" cy="430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66675</xdr:colOff>
      <xdr:row>80</xdr:row>
      <xdr:rowOff>0</xdr:rowOff>
    </xdr:from>
    <xdr:to>
      <xdr:col>18</xdr:col>
      <xdr:colOff>2552700</xdr:colOff>
      <xdr:row>123</xdr:row>
      <xdr:rowOff>85725</xdr:rowOff>
    </xdr:to>
    <xdr:pic>
      <xdr:nvPicPr>
        <xdr:cNvPr id="48802" name="Picture 271">
          <a:extLst>
            <a:ext uri="{FF2B5EF4-FFF2-40B4-BE49-F238E27FC236}">
              <a16:creationId xmlns:a16="http://schemas.microsoft.com/office/drawing/2014/main" id="{00000000-0008-0000-0000-0000A2BE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001750" y="11763375"/>
          <a:ext cx="2486025" cy="721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238125</xdr:colOff>
      <xdr:row>128</xdr:row>
      <xdr:rowOff>0</xdr:rowOff>
    </xdr:from>
    <xdr:to>
      <xdr:col>18</xdr:col>
      <xdr:colOff>2495550</xdr:colOff>
      <xdr:row>149</xdr:row>
      <xdr:rowOff>152400</xdr:rowOff>
    </xdr:to>
    <xdr:pic>
      <xdr:nvPicPr>
        <xdr:cNvPr id="48803" name="Picture 273">
          <a:extLst>
            <a:ext uri="{FF2B5EF4-FFF2-40B4-BE49-F238E27FC236}">
              <a16:creationId xmlns:a16="http://schemas.microsoft.com/office/drawing/2014/main" id="{00000000-0008-0000-0000-0000A3BE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173200" y="19878675"/>
          <a:ext cx="2257425" cy="4914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219075</xdr:colOff>
      <xdr:row>153</xdr:row>
      <xdr:rowOff>104775</xdr:rowOff>
    </xdr:from>
    <xdr:to>
      <xdr:col>18</xdr:col>
      <xdr:colOff>2514600</xdr:colOff>
      <xdr:row>186</xdr:row>
      <xdr:rowOff>76200</xdr:rowOff>
    </xdr:to>
    <xdr:pic>
      <xdr:nvPicPr>
        <xdr:cNvPr id="48804" name="Picture 275">
          <a:extLst>
            <a:ext uri="{FF2B5EF4-FFF2-40B4-BE49-F238E27FC236}">
              <a16:creationId xmlns:a16="http://schemas.microsoft.com/office/drawing/2014/main" id="{00000000-0008-0000-0000-0000A4BE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4154150" y="25546050"/>
          <a:ext cx="2295525" cy="7096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0</xdr:colOff>
          <xdr:row>15</xdr:row>
          <xdr:rowOff>9525</xdr:rowOff>
        </xdr:from>
        <xdr:to>
          <xdr:col>4</xdr:col>
          <xdr:colOff>771525</xdr:colOff>
          <xdr:row>16</xdr:row>
          <xdr:rowOff>9525</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0</xdr:rowOff>
        </xdr:from>
        <xdr:to>
          <xdr:col>4</xdr:col>
          <xdr:colOff>771525</xdr:colOff>
          <xdr:row>14</xdr:row>
          <xdr:rowOff>0</xdr:rowOff>
        </xdr:to>
        <xdr:sp macro="" textlink="">
          <xdr:nvSpPr>
            <xdr:cNvPr id="1026" name="Drop Dow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581025</xdr:colOff>
          <xdr:row>9</xdr:row>
          <xdr:rowOff>0</xdr:rowOff>
        </xdr:from>
        <xdr:to>
          <xdr:col>11</xdr:col>
          <xdr:colOff>0</xdr:colOff>
          <xdr:row>10</xdr:row>
          <xdr:rowOff>0</xdr:rowOff>
        </xdr:to>
        <xdr:sp macro="" textlink="">
          <xdr:nvSpPr>
            <xdr:cNvPr id="1027" name="Spinner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10</xdr:col>
          <xdr:colOff>581025</xdr:colOff>
          <xdr:row>11</xdr:row>
          <xdr:rowOff>0</xdr:rowOff>
        </xdr:from>
        <xdr:to>
          <xdr:col>11</xdr:col>
          <xdr:colOff>0</xdr:colOff>
          <xdr:row>12</xdr:row>
          <xdr:rowOff>0</xdr:rowOff>
        </xdr:to>
        <xdr:sp macro="" textlink="">
          <xdr:nvSpPr>
            <xdr:cNvPr id="1028" name="Spinner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w="9525">
              <a:miter lim="800000"/>
              <a:headEnd/>
              <a:tailEnd/>
            </a:ln>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10</xdr:col>
          <xdr:colOff>581025</xdr:colOff>
          <xdr:row>13</xdr:row>
          <xdr:rowOff>0</xdr:rowOff>
        </xdr:from>
        <xdr:to>
          <xdr:col>11</xdr:col>
          <xdr:colOff>0</xdr:colOff>
          <xdr:row>14</xdr:row>
          <xdr:rowOff>0</xdr:rowOff>
        </xdr:to>
        <xdr:sp macro="" textlink="">
          <xdr:nvSpPr>
            <xdr:cNvPr id="1029" name="Spinner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w="9525">
              <a:miter lim="800000"/>
              <a:headEnd/>
              <a:tailEnd/>
            </a:ln>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9</xdr:col>
          <xdr:colOff>581025</xdr:colOff>
          <xdr:row>24</xdr:row>
          <xdr:rowOff>0</xdr:rowOff>
        </xdr:from>
        <xdr:to>
          <xdr:col>10</xdr:col>
          <xdr:colOff>0</xdr:colOff>
          <xdr:row>25</xdr:row>
          <xdr:rowOff>0</xdr:rowOff>
        </xdr:to>
        <xdr:sp macro="" textlink="">
          <xdr:nvSpPr>
            <xdr:cNvPr id="1031" name="Spinner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w="9525">
              <a:miter lim="800000"/>
              <a:headEnd/>
              <a:tailEnd/>
            </a:ln>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10</xdr:col>
          <xdr:colOff>581025</xdr:colOff>
          <xdr:row>24</xdr:row>
          <xdr:rowOff>0</xdr:rowOff>
        </xdr:from>
        <xdr:to>
          <xdr:col>11</xdr:col>
          <xdr:colOff>0</xdr:colOff>
          <xdr:row>25</xdr:row>
          <xdr:rowOff>0</xdr:rowOff>
        </xdr:to>
        <xdr:sp macro="" textlink="">
          <xdr:nvSpPr>
            <xdr:cNvPr id="1032" name="Spinner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w="9525">
              <a:miter lim="800000"/>
              <a:headEnd/>
              <a:tailEnd/>
            </a:ln>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9</xdr:col>
          <xdr:colOff>581025</xdr:colOff>
          <xdr:row>26</xdr:row>
          <xdr:rowOff>0</xdr:rowOff>
        </xdr:from>
        <xdr:to>
          <xdr:col>10</xdr:col>
          <xdr:colOff>0</xdr:colOff>
          <xdr:row>27</xdr:row>
          <xdr:rowOff>0</xdr:rowOff>
        </xdr:to>
        <xdr:sp macro="" textlink="">
          <xdr:nvSpPr>
            <xdr:cNvPr id="1033" name="Spinner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w="9525">
              <a:miter lim="800000"/>
              <a:headEnd/>
              <a:tailEnd/>
            </a:ln>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10</xdr:col>
          <xdr:colOff>581025</xdr:colOff>
          <xdr:row>26</xdr:row>
          <xdr:rowOff>0</xdr:rowOff>
        </xdr:from>
        <xdr:to>
          <xdr:col>11</xdr:col>
          <xdr:colOff>0</xdr:colOff>
          <xdr:row>27</xdr:row>
          <xdr:rowOff>0</xdr:rowOff>
        </xdr:to>
        <xdr:sp macro="" textlink="">
          <xdr:nvSpPr>
            <xdr:cNvPr id="1034" name="Spinner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w="9525">
              <a:miter lim="800000"/>
              <a:headEnd/>
              <a:tailEnd/>
            </a:ln>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9</xdr:col>
          <xdr:colOff>581025</xdr:colOff>
          <xdr:row>28</xdr:row>
          <xdr:rowOff>0</xdr:rowOff>
        </xdr:from>
        <xdr:to>
          <xdr:col>10</xdr:col>
          <xdr:colOff>0</xdr:colOff>
          <xdr:row>29</xdr:row>
          <xdr:rowOff>0</xdr:rowOff>
        </xdr:to>
        <xdr:sp macro="" textlink="">
          <xdr:nvSpPr>
            <xdr:cNvPr id="1035" name="Spinner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w="9525">
              <a:miter lim="800000"/>
              <a:headEnd/>
              <a:tailEnd/>
            </a:ln>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10</xdr:col>
          <xdr:colOff>581025</xdr:colOff>
          <xdr:row>28</xdr:row>
          <xdr:rowOff>0</xdr:rowOff>
        </xdr:from>
        <xdr:to>
          <xdr:col>11</xdr:col>
          <xdr:colOff>0</xdr:colOff>
          <xdr:row>29</xdr:row>
          <xdr:rowOff>0</xdr:rowOff>
        </xdr:to>
        <xdr:sp macro="" textlink="">
          <xdr:nvSpPr>
            <xdr:cNvPr id="1036" name="Spinner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w="9525">
              <a:miter lim="800000"/>
              <a:headEnd/>
              <a:tailEnd/>
            </a:ln>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xdr:from>
          <xdr:col>10</xdr:col>
          <xdr:colOff>581025</xdr:colOff>
          <xdr:row>17</xdr:row>
          <xdr:rowOff>0</xdr:rowOff>
        </xdr:from>
        <xdr:to>
          <xdr:col>11</xdr:col>
          <xdr:colOff>0</xdr:colOff>
          <xdr:row>18</xdr:row>
          <xdr:rowOff>0</xdr:rowOff>
        </xdr:to>
        <xdr:sp macro="" textlink="">
          <xdr:nvSpPr>
            <xdr:cNvPr id="1039" name="Spinner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w="9525">
              <a:miter lim="800000"/>
              <a:headEnd/>
              <a:tailEnd/>
            </a:ln>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0</xdr:rowOff>
        </xdr:from>
        <xdr:to>
          <xdr:col>4</xdr:col>
          <xdr:colOff>0</xdr:colOff>
          <xdr:row>25</xdr:row>
          <xdr:rowOff>0</xdr:rowOff>
        </xdr:to>
        <xdr:sp macro="" textlink="">
          <xdr:nvSpPr>
            <xdr:cNvPr id="1040" name="Drop Dow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0</xdr:rowOff>
        </xdr:from>
        <xdr:to>
          <xdr:col>4</xdr:col>
          <xdr:colOff>0</xdr:colOff>
          <xdr:row>27</xdr:row>
          <xdr:rowOff>0</xdr:rowOff>
        </xdr:to>
        <xdr:sp macro="" textlink="">
          <xdr:nvSpPr>
            <xdr:cNvPr id="1041" name="Drop Dow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0</xdr:rowOff>
        </xdr:from>
        <xdr:to>
          <xdr:col>4</xdr:col>
          <xdr:colOff>0</xdr:colOff>
          <xdr:row>20</xdr:row>
          <xdr:rowOff>0</xdr:rowOff>
        </xdr:to>
        <xdr:sp macro="" textlink="">
          <xdr:nvSpPr>
            <xdr:cNvPr id="1066" name="Drop Dow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0</xdr:rowOff>
        </xdr:from>
        <xdr:to>
          <xdr:col>4</xdr:col>
          <xdr:colOff>0</xdr:colOff>
          <xdr:row>31</xdr:row>
          <xdr:rowOff>0</xdr:rowOff>
        </xdr:to>
        <xdr:sp macro="" textlink="">
          <xdr:nvSpPr>
            <xdr:cNvPr id="1197" name="Drop Down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0</xdr:rowOff>
        </xdr:from>
        <xdr:to>
          <xdr:col>4</xdr:col>
          <xdr:colOff>0</xdr:colOff>
          <xdr:row>38</xdr:row>
          <xdr:rowOff>47625</xdr:rowOff>
        </xdr:to>
        <xdr:sp macro="" textlink="">
          <xdr:nvSpPr>
            <xdr:cNvPr id="1238" name="Drop Down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1609725</xdr:colOff>
          <xdr:row>38</xdr:row>
          <xdr:rowOff>66675</xdr:rowOff>
        </xdr:from>
        <xdr:to>
          <xdr:col>3</xdr:col>
          <xdr:colOff>266700</xdr:colOff>
          <xdr:row>39</xdr:row>
          <xdr:rowOff>219075</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933450</xdr:colOff>
          <xdr:row>38</xdr:row>
          <xdr:rowOff>57150</xdr:rowOff>
        </xdr:from>
        <xdr:to>
          <xdr:col>6</xdr:col>
          <xdr:colOff>95250</xdr:colOff>
          <xdr:row>39</xdr:row>
          <xdr:rowOff>209550</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1085850</xdr:colOff>
          <xdr:row>38</xdr:row>
          <xdr:rowOff>57150</xdr:rowOff>
        </xdr:from>
        <xdr:to>
          <xdr:col>9</xdr:col>
          <xdr:colOff>266700</xdr:colOff>
          <xdr:row>39</xdr:row>
          <xdr:rowOff>209550</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45</xdr:row>
          <xdr:rowOff>57150</xdr:rowOff>
        </xdr:from>
        <xdr:to>
          <xdr:col>1</xdr:col>
          <xdr:colOff>657225</xdr:colOff>
          <xdr:row>47</xdr:row>
          <xdr:rowOff>9525</xdr:rowOff>
        </xdr:to>
        <xdr:sp macro="" textlink="">
          <xdr:nvSpPr>
            <xdr:cNvPr id="15849" name="Check Box 1513" hidden="1">
              <a:extLst>
                <a:ext uri="{63B3BB69-23CF-44E3-9099-C40C66FF867C}">
                  <a14:compatExt spid="_x0000_s15849"/>
                </a:ext>
                <a:ext uri="{FF2B5EF4-FFF2-40B4-BE49-F238E27FC236}">
                  <a16:creationId xmlns:a16="http://schemas.microsoft.com/office/drawing/2014/main" id="{00000000-0008-0000-0000-0000E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47</xdr:row>
          <xdr:rowOff>57150</xdr:rowOff>
        </xdr:from>
        <xdr:to>
          <xdr:col>1</xdr:col>
          <xdr:colOff>657225</xdr:colOff>
          <xdr:row>49</xdr:row>
          <xdr:rowOff>9525</xdr:rowOff>
        </xdr:to>
        <xdr:sp macro="" textlink="">
          <xdr:nvSpPr>
            <xdr:cNvPr id="15850" name="Check Box 1514" hidden="1">
              <a:extLst>
                <a:ext uri="{63B3BB69-23CF-44E3-9099-C40C66FF867C}">
                  <a14:compatExt spid="_x0000_s15850"/>
                </a:ext>
                <a:ext uri="{FF2B5EF4-FFF2-40B4-BE49-F238E27FC236}">
                  <a16:creationId xmlns:a16="http://schemas.microsoft.com/office/drawing/2014/main" id="{00000000-0008-0000-0000-0000E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49</xdr:row>
          <xdr:rowOff>57150</xdr:rowOff>
        </xdr:from>
        <xdr:to>
          <xdr:col>1</xdr:col>
          <xdr:colOff>657225</xdr:colOff>
          <xdr:row>51</xdr:row>
          <xdr:rowOff>9525</xdr:rowOff>
        </xdr:to>
        <xdr:sp macro="" textlink="">
          <xdr:nvSpPr>
            <xdr:cNvPr id="15851" name="Check Box 1515" hidden="1">
              <a:extLst>
                <a:ext uri="{63B3BB69-23CF-44E3-9099-C40C66FF867C}">
                  <a14:compatExt spid="_x0000_s15851"/>
                </a:ext>
                <a:ext uri="{FF2B5EF4-FFF2-40B4-BE49-F238E27FC236}">
                  <a16:creationId xmlns:a16="http://schemas.microsoft.com/office/drawing/2014/main" id="{00000000-0008-0000-0000-0000E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51</xdr:row>
          <xdr:rowOff>57150</xdr:rowOff>
        </xdr:from>
        <xdr:to>
          <xdr:col>1</xdr:col>
          <xdr:colOff>657225</xdr:colOff>
          <xdr:row>53</xdr:row>
          <xdr:rowOff>9525</xdr:rowOff>
        </xdr:to>
        <xdr:sp macro="" textlink="">
          <xdr:nvSpPr>
            <xdr:cNvPr id="15852" name="Check Box 1516" hidden="1">
              <a:extLst>
                <a:ext uri="{63B3BB69-23CF-44E3-9099-C40C66FF867C}">
                  <a14:compatExt spid="_x0000_s15852"/>
                </a:ext>
                <a:ext uri="{FF2B5EF4-FFF2-40B4-BE49-F238E27FC236}">
                  <a16:creationId xmlns:a16="http://schemas.microsoft.com/office/drawing/2014/main" id="{00000000-0008-0000-0000-0000E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428625</xdr:colOff>
          <xdr:row>43</xdr:row>
          <xdr:rowOff>57150</xdr:rowOff>
        </xdr:from>
        <xdr:to>
          <xdr:col>1</xdr:col>
          <xdr:colOff>657225</xdr:colOff>
          <xdr:row>45</xdr:row>
          <xdr:rowOff>19050</xdr:rowOff>
        </xdr:to>
        <xdr:sp macro="" textlink="">
          <xdr:nvSpPr>
            <xdr:cNvPr id="15858" name="Check Box 1522" hidden="1">
              <a:extLst>
                <a:ext uri="{63B3BB69-23CF-44E3-9099-C40C66FF867C}">
                  <a14:compatExt spid="_x0000_s15858"/>
                </a:ext>
                <a:ext uri="{FF2B5EF4-FFF2-40B4-BE49-F238E27FC236}">
                  <a16:creationId xmlns:a16="http://schemas.microsoft.com/office/drawing/2014/main" id="{00000000-0008-0000-0000-0000F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xdr:row>
          <xdr:rowOff>295275</xdr:rowOff>
        </xdr:from>
        <xdr:to>
          <xdr:col>12</xdr:col>
          <xdr:colOff>923925</xdr:colOff>
          <xdr:row>1</xdr:row>
          <xdr:rowOff>523875</xdr:rowOff>
        </xdr:to>
        <xdr:sp macro="" textlink="">
          <xdr:nvSpPr>
            <xdr:cNvPr id="16079" name="Drop Down 1743" hidden="1">
              <a:extLst>
                <a:ext uri="{63B3BB69-23CF-44E3-9099-C40C66FF867C}">
                  <a14:compatExt spid="_x0000_s16079"/>
                </a:ext>
                <a:ext uri="{FF2B5EF4-FFF2-40B4-BE49-F238E27FC236}">
                  <a16:creationId xmlns:a16="http://schemas.microsoft.com/office/drawing/2014/main" id="{00000000-0008-0000-0000-0000CF3E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9525</xdr:rowOff>
        </xdr:from>
        <xdr:to>
          <xdr:col>4</xdr:col>
          <xdr:colOff>0</xdr:colOff>
          <xdr:row>58</xdr:row>
          <xdr:rowOff>9525</xdr:rowOff>
        </xdr:to>
        <xdr:sp macro="" textlink="">
          <xdr:nvSpPr>
            <xdr:cNvPr id="20885" name="Drop Down 2453" hidden="1">
              <a:extLst>
                <a:ext uri="{63B3BB69-23CF-44E3-9099-C40C66FF867C}">
                  <a14:compatExt spid="_x0000_s20885"/>
                </a:ext>
                <a:ext uri="{FF2B5EF4-FFF2-40B4-BE49-F238E27FC236}">
                  <a16:creationId xmlns:a16="http://schemas.microsoft.com/office/drawing/2014/main" id="{00000000-0008-0000-0000-0000955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absolute">
    <xdr:from>
      <xdr:col>13</xdr:col>
      <xdr:colOff>304800</xdr:colOff>
      <xdr:row>49</xdr:row>
      <xdr:rowOff>38100</xdr:rowOff>
    </xdr:from>
    <xdr:to>
      <xdr:col>18</xdr:col>
      <xdr:colOff>1809750</xdr:colOff>
      <xdr:row>72</xdr:row>
      <xdr:rowOff>104775</xdr:rowOff>
    </xdr:to>
    <xdr:grpSp>
      <xdr:nvGrpSpPr>
        <xdr:cNvPr id="48805" name="Group 15">
          <a:extLst>
            <a:ext uri="{FF2B5EF4-FFF2-40B4-BE49-F238E27FC236}">
              <a16:creationId xmlns:a16="http://schemas.microsoft.com/office/drawing/2014/main" id="{00000000-0008-0000-0000-0000A5BE0000}"/>
            </a:ext>
          </a:extLst>
        </xdr:cNvPr>
        <xdr:cNvGrpSpPr>
          <a:grpSpLocks/>
        </xdr:cNvGrpSpPr>
      </xdr:nvGrpSpPr>
      <xdr:grpSpPr bwMode="auto">
        <a:xfrm>
          <a:off x="9591675" y="7820025"/>
          <a:ext cx="6153150" cy="2705100"/>
          <a:chOff x="8982074" y="7820025"/>
          <a:chExt cx="6153151" cy="2705101"/>
        </a:xfrm>
      </xdr:grpSpPr>
      <xdr:grpSp>
        <xdr:nvGrpSpPr>
          <xdr:cNvPr id="48806" name="Group 13">
            <a:extLst>
              <a:ext uri="{FF2B5EF4-FFF2-40B4-BE49-F238E27FC236}">
                <a16:creationId xmlns:a16="http://schemas.microsoft.com/office/drawing/2014/main" id="{00000000-0008-0000-0000-0000A6BE0000}"/>
              </a:ext>
            </a:extLst>
          </xdr:cNvPr>
          <xdr:cNvGrpSpPr>
            <a:grpSpLocks/>
          </xdr:cNvGrpSpPr>
        </xdr:nvGrpSpPr>
        <xdr:grpSpPr bwMode="auto">
          <a:xfrm>
            <a:off x="8982074" y="7820025"/>
            <a:ext cx="6153151" cy="2705101"/>
            <a:chOff x="8963024" y="7686675"/>
            <a:chExt cx="6153151" cy="2705101"/>
          </a:xfrm>
        </xdr:grpSpPr>
        <xdr:sp macro="" textlink="">
          <xdr:nvSpPr>
            <xdr:cNvPr id="2" name="Rectangle 1">
              <a:extLst>
                <a:ext uri="{FF2B5EF4-FFF2-40B4-BE49-F238E27FC236}">
                  <a16:creationId xmlns:a16="http://schemas.microsoft.com/office/drawing/2014/main" id="{00000000-0008-0000-0000-000002000000}"/>
                </a:ext>
              </a:extLst>
            </xdr:cNvPr>
            <xdr:cNvSpPr/>
          </xdr:nvSpPr>
          <xdr:spPr>
            <a:xfrm>
              <a:off x="8972549" y="9096376"/>
              <a:ext cx="2276475" cy="1809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sp macro="" textlink="">
          <xdr:nvSpPr>
            <xdr:cNvPr id="35" name="Rectangle 34">
              <a:extLst>
                <a:ext uri="{FF2B5EF4-FFF2-40B4-BE49-F238E27FC236}">
                  <a16:creationId xmlns:a16="http://schemas.microsoft.com/office/drawing/2014/main" id="{00000000-0008-0000-0000-000023000000}"/>
                </a:ext>
              </a:extLst>
            </xdr:cNvPr>
            <xdr:cNvSpPr/>
          </xdr:nvSpPr>
          <xdr:spPr>
            <a:xfrm>
              <a:off x="8972549" y="10010776"/>
              <a:ext cx="2276475" cy="1809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sp macro="" textlink="">
          <xdr:nvSpPr>
            <xdr:cNvPr id="36" name="Rectangle 35">
              <a:extLst>
                <a:ext uri="{FF2B5EF4-FFF2-40B4-BE49-F238E27FC236}">
                  <a16:creationId xmlns:a16="http://schemas.microsoft.com/office/drawing/2014/main" id="{00000000-0008-0000-0000-000024000000}"/>
                </a:ext>
              </a:extLst>
            </xdr:cNvPr>
            <xdr:cNvSpPr/>
          </xdr:nvSpPr>
          <xdr:spPr>
            <a:xfrm>
              <a:off x="8972549" y="9277351"/>
              <a:ext cx="219075" cy="7334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sp macro="" textlink="">
          <xdr:nvSpPr>
            <xdr:cNvPr id="37" name="Rectangle 36">
              <a:extLst>
                <a:ext uri="{FF2B5EF4-FFF2-40B4-BE49-F238E27FC236}">
                  <a16:creationId xmlns:a16="http://schemas.microsoft.com/office/drawing/2014/main" id="{00000000-0008-0000-0000-000025000000}"/>
                </a:ext>
              </a:extLst>
            </xdr:cNvPr>
            <xdr:cNvSpPr/>
          </xdr:nvSpPr>
          <xdr:spPr>
            <a:xfrm>
              <a:off x="11029949" y="9277351"/>
              <a:ext cx="219075" cy="7334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sp macro="" textlink="">
          <xdr:nvSpPr>
            <xdr:cNvPr id="38" name="Rectangle 37">
              <a:extLst>
                <a:ext uri="{FF2B5EF4-FFF2-40B4-BE49-F238E27FC236}">
                  <a16:creationId xmlns:a16="http://schemas.microsoft.com/office/drawing/2014/main" id="{00000000-0008-0000-0000-000026000000}"/>
                </a:ext>
              </a:extLst>
            </xdr:cNvPr>
            <xdr:cNvSpPr/>
          </xdr:nvSpPr>
          <xdr:spPr>
            <a:xfrm>
              <a:off x="11325224" y="9096376"/>
              <a:ext cx="1438275" cy="1809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sp macro="" textlink="">
          <xdr:nvSpPr>
            <xdr:cNvPr id="39" name="Rectangle 38">
              <a:extLst>
                <a:ext uri="{FF2B5EF4-FFF2-40B4-BE49-F238E27FC236}">
                  <a16:creationId xmlns:a16="http://schemas.microsoft.com/office/drawing/2014/main" id="{00000000-0008-0000-0000-000027000000}"/>
                </a:ext>
              </a:extLst>
            </xdr:cNvPr>
            <xdr:cNvSpPr/>
          </xdr:nvSpPr>
          <xdr:spPr>
            <a:xfrm>
              <a:off x="11325224" y="10010776"/>
              <a:ext cx="1438275" cy="1809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sp macro="" textlink="">
          <xdr:nvSpPr>
            <xdr:cNvPr id="40" name="Rectangle 39">
              <a:extLst>
                <a:ext uri="{FF2B5EF4-FFF2-40B4-BE49-F238E27FC236}">
                  <a16:creationId xmlns:a16="http://schemas.microsoft.com/office/drawing/2014/main" id="{00000000-0008-0000-0000-000028000000}"/>
                </a:ext>
              </a:extLst>
            </xdr:cNvPr>
            <xdr:cNvSpPr/>
          </xdr:nvSpPr>
          <xdr:spPr>
            <a:xfrm>
              <a:off x="11325224" y="9277351"/>
              <a:ext cx="219075" cy="7334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sp macro="" textlink="">
          <xdr:nvSpPr>
            <xdr:cNvPr id="41" name="Rectangle 40">
              <a:extLst>
                <a:ext uri="{FF2B5EF4-FFF2-40B4-BE49-F238E27FC236}">
                  <a16:creationId xmlns:a16="http://schemas.microsoft.com/office/drawing/2014/main" id="{00000000-0008-0000-0000-000029000000}"/>
                </a:ext>
              </a:extLst>
            </xdr:cNvPr>
            <xdr:cNvSpPr/>
          </xdr:nvSpPr>
          <xdr:spPr>
            <a:xfrm>
              <a:off x="12544425" y="9277351"/>
              <a:ext cx="219075" cy="7334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sp macro="" textlink="">
          <xdr:nvSpPr>
            <xdr:cNvPr id="42" name="Rectangle 41">
              <a:extLst>
                <a:ext uri="{FF2B5EF4-FFF2-40B4-BE49-F238E27FC236}">
                  <a16:creationId xmlns:a16="http://schemas.microsoft.com/office/drawing/2014/main" id="{00000000-0008-0000-0000-00002A000000}"/>
                </a:ext>
              </a:extLst>
            </xdr:cNvPr>
            <xdr:cNvSpPr/>
          </xdr:nvSpPr>
          <xdr:spPr>
            <a:xfrm>
              <a:off x="12839700" y="9096376"/>
              <a:ext cx="2276475" cy="1809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sp macro="" textlink="">
          <xdr:nvSpPr>
            <xdr:cNvPr id="43" name="Rectangle 42">
              <a:extLst>
                <a:ext uri="{FF2B5EF4-FFF2-40B4-BE49-F238E27FC236}">
                  <a16:creationId xmlns:a16="http://schemas.microsoft.com/office/drawing/2014/main" id="{00000000-0008-0000-0000-00002B000000}"/>
                </a:ext>
              </a:extLst>
            </xdr:cNvPr>
            <xdr:cNvSpPr/>
          </xdr:nvSpPr>
          <xdr:spPr>
            <a:xfrm>
              <a:off x="12839700" y="10010776"/>
              <a:ext cx="2276475" cy="18097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sp macro="" textlink="">
          <xdr:nvSpPr>
            <xdr:cNvPr id="44" name="Rectangle 43">
              <a:extLst>
                <a:ext uri="{FF2B5EF4-FFF2-40B4-BE49-F238E27FC236}">
                  <a16:creationId xmlns:a16="http://schemas.microsoft.com/office/drawing/2014/main" id="{00000000-0008-0000-0000-00002C000000}"/>
                </a:ext>
              </a:extLst>
            </xdr:cNvPr>
            <xdr:cNvSpPr/>
          </xdr:nvSpPr>
          <xdr:spPr>
            <a:xfrm>
              <a:off x="12839700" y="9277351"/>
              <a:ext cx="219075" cy="7334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sp macro="" textlink="">
          <xdr:nvSpPr>
            <xdr:cNvPr id="45" name="Rectangle 44">
              <a:extLst>
                <a:ext uri="{FF2B5EF4-FFF2-40B4-BE49-F238E27FC236}">
                  <a16:creationId xmlns:a16="http://schemas.microsoft.com/office/drawing/2014/main" id="{00000000-0008-0000-0000-00002D000000}"/>
                </a:ext>
              </a:extLst>
            </xdr:cNvPr>
            <xdr:cNvSpPr/>
          </xdr:nvSpPr>
          <xdr:spPr>
            <a:xfrm>
              <a:off x="14897100" y="9277351"/>
              <a:ext cx="219075" cy="7334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sp macro="" textlink="">
          <xdr:nvSpPr>
            <xdr:cNvPr id="3" name="Double Wave 2">
              <a:extLst>
                <a:ext uri="{FF2B5EF4-FFF2-40B4-BE49-F238E27FC236}">
                  <a16:creationId xmlns:a16="http://schemas.microsoft.com/office/drawing/2014/main" id="{00000000-0008-0000-0000-000003000000}"/>
                </a:ext>
              </a:extLst>
            </xdr:cNvPr>
            <xdr:cNvSpPr/>
          </xdr:nvSpPr>
          <xdr:spPr>
            <a:xfrm rot="5400000">
              <a:off x="9296399" y="9572626"/>
              <a:ext cx="1343025" cy="104775"/>
            </a:xfrm>
            <a:prstGeom prst="doubleWave">
              <a:avLst/>
            </a:prstGeom>
            <a:solidFill>
              <a:schemeClr val="bg1">
                <a:lumMod val="7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sp macro="" textlink="">
          <xdr:nvSpPr>
            <xdr:cNvPr id="4" name="Rectangle 3">
              <a:extLst>
                <a:ext uri="{FF2B5EF4-FFF2-40B4-BE49-F238E27FC236}">
                  <a16:creationId xmlns:a16="http://schemas.microsoft.com/office/drawing/2014/main" id="{00000000-0008-0000-0000-000004000000}"/>
                </a:ext>
              </a:extLst>
            </xdr:cNvPr>
            <xdr:cNvSpPr/>
          </xdr:nvSpPr>
          <xdr:spPr>
            <a:xfrm>
              <a:off x="9848849" y="8886825"/>
              <a:ext cx="228600" cy="104775"/>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sp macro="" textlink="">
          <xdr:nvSpPr>
            <xdr:cNvPr id="48" name="Rectangle 47">
              <a:extLst>
                <a:ext uri="{FF2B5EF4-FFF2-40B4-BE49-F238E27FC236}">
                  <a16:creationId xmlns:a16="http://schemas.microsoft.com/office/drawing/2014/main" id="{00000000-0008-0000-0000-000030000000}"/>
                </a:ext>
              </a:extLst>
            </xdr:cNvPr>
            <xdr:cNvSpPr/>
          </xdr:nvSpPr>
          <xdr:spPr>
            <a:xfrm>
              <a:off x="9886949" y="10267951"/>
              <a:ext cx="228600" cy="104775"/>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sp macro="" textlink="">
          <xdr:nvSpPr>
            <xdr:cNvPr id="49" name="Double Wave 48">
              <a:extLst>
                <a:ext uri="{FF2B5EF4-FFF2-40B4-BE49-F238E27FC236}">
                  <a16:creationId xmlns:a16="http://schemas.microsoft.com/office/drawing/2014/main" id="{00000000-0008-0000-0000-000031000000}"/>
                </a:ext>
              </a:extLst>
            </xdr:cNvPr>
            <xdr:cNvSpPr/>
          </xdr:nvSpPr>
          <xdr:spPr>
            <a:xfrm rot="5400000">
              <a:off x="12877799" y="9591676"/>
              <a:ext cx="1343025" cy="104775"/>
            </a:xfrm>
            <a:prstGeom prst="doubleWave">
              <a:avLst/>
            </a:prstGeom>
            <a:solidFill>
              <a:schemeClr val="bg1">
                <a:lumMod val="7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sp macro="" textlink="">
          <xdr:nvSpPr>
            <xdr:cNvPr id="50" name="Rectangle 49">
              <a:extLst>
                <a:ext uri="{FF2B5EF4-FFF2-40B4-BE49-F238E27FC236}">
                  <a16:creationId xmlns:a16="http://schemas.microsoft.com/office/drawing/2014/main" id="{00000000-0008-0000-0000-000032000000}"/>
                </a:ext>
              </a:extLst>
            </xdr:cNvPr>
            <xdr:cNvSpPr/>
          </xdr:nvSpPr>
          <xdr:spPr>
            <a:xfrm>
              <a:off x="13430250" y="8905875"/>
              <a:ext cx="228600" cy="104775"/>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sp macro="" textlink="">
          <xdr:nvSpPr>
            <xdr:cNvPr id="51" name="Rectangle 50">
              <a:extLst>
                <a:ext uri="{FF2B5EF4-FFF2-40B4-BE49-F238E27FC236}">
                  <a16:creationId xmlns:a16="http://schemas.microsoft.com/office/drawing/2014/main" id="{00000000-0008-0000-0000-000033000000}"/>
                </a:ext>
              </a:extLst>
            </xdr:cNvPr>
            <xdr:cNvSpPr/>
          </xdr:nvSpPr>
          <xdr:spPr>
            <a:xfrm>
              <a:off x="13468350" y="10287001"/>
              <a:ext cx="228600" cy="104775"/>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xnSp macro="">
          <xdr:nvCxnSpPr>
            <xdr:cNvPr id="6" name="Straight Connector 5">
              <a:extLst>
                <a:ext uri="{FF2B5EF4-FFF2-40B4-BE49-F238E27FC236}">
                  <a16:creationId xmlns:a16="http://schemas.microsoft.com/office/drawing/2014/main" id="{00000000-0008-0000-0000-000006000000}"/>
                </a:ext>
              </a:extLst>
            </xdr:cNvPr>
            <xdr:cNvCxnSpPr/>
          </xdr:nvCxnSpPr>
          <xdr:spPr>
            <a:xfrm flipV="1">
              <a:off x="8963024" y="8505825"/>
              <a:ext cx="0" cy="63817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4" name="Straight Connector 53">
              <a:extLst>
                <a:ext uri="{FF2B5EF4-FFF2-40B4-BE49-F238E27FC236}">
                  <a16:creationId xmlns:a16="http://schemas.microsoft.com/office/drawing/2014/main" id="{00000000-0008-0000-0000-000036000000}"/>
                </a:ext>
              </a:extLst>
            </xdr:cNvPr>
            <xdr:cNvCxnSpPr/>
          </xdr:nvCxnSpPr>
          <xdr:spPr>
            <a:xfrm flipV="1">
              <a:off x="11249024" y="8505825"/>
              <a:ext cx="0" cy="63817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5" name="Straight Connector 54">
              <a:extLst>
                <a:ext uri="{FF2B5EF4-FFF2-40B4-BE49-F238E27FC236}">
                  <a16:creationId xmlns:a16="http://schemas.microsoft.com/office/drawing/2014/main" id="{00000000-0008-0000-0000-000037000000}"/>
                </a:ext>
              </a:extLst>
            </xdr:cNvPr>
            <xdr:cNvCxnSpPr/>
          </xdr:nvCxnSpPr>
          <xdr:spPr>
            <a:xfrm flipV="1">
              <a:off x="11315699" y="8801100"/>
              <a:ext cx="0" cy="36195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6" name="Straight Connector 55">
              <a:extLst>
                <a:ext uri="{FF2B5EF4-FFF2-40B4-BE49-F238E27FC236}">
                  <a16:creationId xmlns:a16="http://schemas.microsoft.com/office/drawing/2014/main" id="{00000000-0008-0000-0000-000038000000}"/>
                </a:ext>
              </a:extLst>
            </xdr:cNvPr>
            <xdr:cNvCxnSpPr/>
          </xdr:nvCxnSpPr>
          <xdr:spPr>
            <a:xfrm flipV="1">
              <a:off x="12830175" y="8496300"/>
              <a:ext cx="0" cy="63817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7" name="Straight Connector 56">
              <a:extLst>
                <a:ext uri="{FF2B5EF4-FFF2-40B4-BE49-F238E27FC236}">
                  <a16:creationId xmlns:a16="http://schemas.microsoft.com/office/drawing/2014/main" id="{00000000-0008-0000-0000-000039000000}"/>
                </a:ext>
              </a:extLst>
            </xdr:cNvPr>
            <xdr:cNvCxnSpPr/>
          </xdr:nvCxnSpPr>
          <xdr:spPr>
            <a:xfrm flipV="1">
              <a:off x="15116175" y="8496300"/>
              <a:ext cx="0" cy="63817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58" name="Straight Connector 57">
              <a:extLst>
                <a:ext uri="{FF2B5EF4-FFF2-40B4-BE49-F238E27FC236}">
                  <a16:creationId xmlns:a16="http://schemas.microsoft.com/office/drawing/2014/main" id="{00000000-0008-0000-0000-00003A000000}"/>
                </a:ext>
              </a:extLst>
            </xdr:cNvPr>
            <xdr:cNvCxnSpPr/>
          </xdr:nvCxnSpPr>
          <xdr:spPr>
            <a:xfrm flipV="1">
              <a:off x="12763500" y="8801100"/>
              <a:ext cx="0" cy="36195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 name="Straight Arrow Connector 7">
              <a:extLst>
                <a:ext uri="{FF2B5EF4-FFF2-40B4-BE49-F238E27FC236}">
                  <a16:creationId xmlns:a16="http://schemas.microsoft.com/office/drawing/2014/main" id="{00000000-0008-0000-0000-000008000000}"/>
                </a:ext>
              </a:extLst>
            </xdr:cNvPr>
            <xdr:cNvCxnSpPr/>
          </xdr:nvCxnSpPr>
          <xdr:spPr>
            <a:xfrm>
              <a:off x="8963024" y="8562975"/>
              <a:ext cx="2286000" cy="0"/>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2" name="Straight Arrow Connector 61">
              <a:extLst>
                <a:ext uri="{FF2B5EF4-FFF2-40B4-BE49-F238E27FC236}">
                  <a16:creationId xmlns:a16="http://schemas.microsoft.com/office/drawing/2014/main" id="{00000000-0008-0000-0000-00003E000000}"/>
                </a:ext>
              </a:extLst>
            </xdr:cNvPr>
            <xdr:cNvCxnSpPr/>
          </xdr:nvCxnSpPr>
          <xdr:spPr>
            <a:xfrm>
              <a:off x="12830175" y="8562975"/>
              <a:ext cx="2286000" cy="0"/>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Straight Connector 10">
              <a:extLst>
                <a:ext uri="{FF2B5EF4-FFF2-40B4-BE49-F238E27FC236}">
                  <a16:creationId xmlns:a16="http://schemas.microsoft.com/office/drawing/2014/main" id="{00000000-0008-0000-0000-00000B000000}"/>
                </a:ext>
              </a:extLst>
            </xdr:cNvPr>
            <xdr:cNvCxnSpPr/>
          </xdr:nvCxnSpPr>
          <xdr:spPr>
            <a:xfrm>
              <a:off x="11249024" y="8562975"/>
              <a:ext cx="1581150" cy="0"/>
            </a:xfrm>
            <a:prstGeom prst="line">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5" name="Straight Arrow Connector 64">
              <a:extLst>
                <a:ext uri="{FF2B5EF4-FFF2-40B4-BE49-F238E27FC236}">
                  <a16:creationId xmlns:a16="http://schemas.microsoft.com/office/drawing/2014/main" id="{00000000-0008-0000-0000-000041000000}"/>
                </a:ext>
              </a:extLst>
            </xdr:cNvPr>
            <xdr:cNvCxnSpPr/>
          </xdr:nvCxnSpPr>
          <xdr:spPr>
            <a:xfrm>
              <a:off x="11315699" y="8867775"/>
              <a:ext cx="1447800" cy="0"/>
            </a:xfrm>
            <a:prstGeom prst="straightConnector1">
              <a:avLst/>
            </a:prstGeom>
            <a:ln w="1270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2" name="TextBox 11">
              <a:extLst>
                <a:ext uri="{FF2B5EF4-FFF2-40B4-BE49-F238E27FC236}">
                  <a16:creationId xmlns:a16="http://schemas.microsoft.com/office/drawing/2014/main" id="{00000000-0008-0000-0000-00000C000000}"/>
                </a:ext>
              </a:extLst>
            </xdr:cNvPr>
            <xdr:cNvSpPr txBox="1"/>
          </xdr:nvSpPr>
          <xdr:spPr>
            <a:xfrm>
              <a:off x="9486899" y="8343900"/>
              <a:ext cx="1304925"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left section's width</a:t>
              </a:r>
              <a:endParaRPr lang="hu-HU" sz="1100"/>
            </a:p>
          </xdr:txBody>
        </xdr:sp>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13268325" y="8343900"/>
              <a:ext cx="137160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right section's width</a:t>
              </a:r>
              <a:endParaRPr lang="hu-HU" sz="1100"/>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11458574" y="8648700"/>
              <a:ext cx="12382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PD's inner width</a:t>
              </a:r>
              <a:endParaRPr lang="hu-HU" sz="1100"/>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11449049" y="8343900"/>
              <a:ext cx="1238250"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PD's outer width</a:t>
              </a:r>
              <a:endParaRPr lang="hu-HU" sz="1100"/>
            </a:p>
          </xdr:txBody>
        </xdr:sp>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10496549" y="7686675"/>
              <a:ext cx="2895600" cy="581025"/>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t>Passdoor related sizes</a:t>
              </a:r>
            </a:p>
            <a:p>
              <a:pPr algn="ctr"/>
              <a:r>
                <a:rPr lang="en-US" sz="1100"/>
                <a:t>looking from the inside</a:t>
              </a:r>
              <a:endParaRPr lang="hu-HU" sz="1100"/>
            </a:p>
          </xdr:txBody>
        </xdr:sp>
      </xdr:grpSp>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505949" y="8696325"/>
            <a:ext cx="1724025"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t>min.</a:t>
            </a:r>
            <a:r>
              <a:rPr lang="en-US" sz="1100" i="1" baseline="0"/>
              <a:t> 700mm</a:t>
            </a:r>
          </a:p>
          <a:p>
            <a:r>
              <a:rPr lang="en-US" sz="1100" i="1" baseline="0">
                <a:solidFill>
                  <a:schemeClr val="dk1"/>
                </a:solidFill>
                <a:effectLst/>
                <a:latin typeface="+mn-lt"/>
                <a:ea typeface="+mn-ea"/>
                <a:cs typeface="+mn-cs"/>
              </a:rPr>
              <a:t>on lock side </a:t>
            </a:r>
            <a:r>
              <a:rPr lang="en-US" sz="1100" i="1" baseline="0"/>
              <a:t>max. 2100mm</a:t>
            </a:r>
            <a:endParaRPr lang="hu-HU" sz="1100" i="1"/>
          </a:p>
        </xdr:txBody>
      </xdr:sp>
      <xdr:sp macro="" textlink="">
        <xdr:nvSpPr>
          <xdr:cNvPr id="73" name="TextBox 72">
            <a:extLst>
              <a:ext uri="{FF2B5EF4-FFF2-40B4-BE49-F238E27FC236}">
                <a16:creationId xmlns:a16="http://schemas.microsoft.com/office/drawing/2014/main" id="{00000000-0008-0000-0000-000049000000}"/>
              </a:ext>
            </a:extLst>
          </xdr:cNvPr>
          <xdr:cNvSpPr txBox="1"/>
        </xdr:nvSpPr>
        <xdr:spPr>
          <a:xfrm>
            <a:off x="13277850" y="8705850"/>
            <a:ext cx="1724025"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i="1"/>
              <a:t>min.</a:t>
            </a:r>
            <a:r>
              <a:rPr lang="en-US" sz="1100" i="1" baseline="0"/>
              <a:t> 700mm</a:t>
            </a:r>
          </a:p>
          <a:p>
            <a:r>
              <a:rPr lang="en-US" sz="1100" i="1" baseline="0">
                <a:solidFill>
                  <a:schemeClr val="dk1"/>
                </a:solidFill>
                <a:effectLst/>
                <a:latin typeface="+mn-lt"/>
                <a:ea typeface="+mn-ea"/>
                <a:cs typeface="+mn-cs"/>
              </a:rPr>
              <a:t>on lock side </a:t>
            </a:r>
            <a:r>
              <a:rPr lang="en-US" sz="1100" i="1" baseline="0"/>
              <a:t>max. 2100mm</a:t>
            </a:r>
            <a:endParaRPr lang="hu-HU" sz="1100" i="1"/>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Munka1">
    <tabColor rgb="FFC00000"/>
    <pageSetUpPr fitToPage="1"/>
  </sheetPr>
  <dimension ref="A1:T191"/>
  <sheetViews>
    <sheetView tabSelected="1" zoomScaleNormal="100" workbookViewId="0">
      <selection activeCell="D8" sqref="D8:E8"/>
    </sheetView>
  </sheetViews>
  <sheetFormatPr defaultRowHeight="15" x14ac:dyDescent="0.25"/>
  <cols>
    <col min="1" max="1" width="1.28515625" style="119" customWidth="1"/>
    <col min="2" max="2" width="10.140625" style="119" customWidth="1"/>
    <col min="3" max="3" width="24.85546875" style="119" customWidth="1"/>
    <col min="4" max="5" width="14.7109375" style="119" customWidth="1"/>
    <col min="6" max="6" width="2.28515625" style="119" customWidth="1"/>
    <col min="7" max="7" width="4.140625" style="119" customWidth="1"/>
    <col min="8" max="8" width="2.7109375" style="119" customWidth="1"/>
    <col min="9" max="9" width="17" style="119" customWidth="1"/>
    <col min="10" max="10" width="14.85546875" style="119" customWidth="1"/>
    <col min="11" max="11" width="15.7109375" style="119" customWidth="1"/>
    <col min="12" max="12" width="2.7109375" style="119" customWidth="1"/>
    <col min="13" max="13" width="14.140625" style="120" customWidth="1"/>
    <col min="14" max="14" width="9.140625" style="119"/>
    <col min="15" max="15" width="11.7109375" style="119" customWidth="1"/>
    <col min="16" max="16" width="6.140625" style="119" customWidth="1"/>
    <col min="17" max="17" width="6" style="119" customWidth="1"/>
    <col min="18" max="18" width="36.7109375" style="119" customWidth="1"/>
    <col min="19" max="19" width="57.28515625" style="119" customWidth="1"/>
    <col min="20" max="20" width="77.7109375" style="119" customWidth="1"/>
    <col min="21" max="16384" width="9.140625" style="119"/>
  </cols>
  <sheetData>
    <row r="1" spans="2:20" ht="6" customHeight="1" x14ac:dyDescent="0.25"/>
    <row r="2" spans="2:20" ht="42" customHeight="1" x14ac:dyDescent="0.35">
      <c r="B2" s="121"/>
      <c r="C2" s="121"/>
      <c r="D2" s="260" t="str">
        <f>languages!$B$10</f>
        <v>Calculation Form for FULL VISION and ALU sections</v>
      </c>
      <c r="E2" s="121"/>
      <c r="F2" s="121"/>
      <c r="G2" s="121"/>
      <c r="H2" s="121"/>
      <c r="I2" s="121"/>
      <c r="J2" s="121"/>
      <c r="K2" s="260" t="s">
        <v>650</v>
      </c>
      <c r="L2" s="121"/>
      <c r="M2" s="304" t="s">
        <v>662</v>
      </c>
      <c r="O2" s="122" t="s">
        <v>222</v>
      </c>
      <c r="P2" s="123"/>
      <c r="Q2" s="123"/>
      <c r="R2" s="123"/>
    </row>
    <row r="3" spans="2:20" ht="9.75" customHeight="1" x14ac:dyDescent="0.25">
      <c r="C3" s="124"/>
    </row>
    <row r="4" spans="2:20" ht="15" customHeight="1" x14ac:dyDescent="0.25">
      <c r="B4" s="262" t="str">
        <f>languages!$B$11</f>
        <v>Please specify your order by filling out the white cells! This workbook requires Excel security settings to allow execution of macro's and VBA code.</v>
      </c>
      <c r="C4" s="124"/>
      <c r="O4" s="125"/>
      <c r="P4" s="125"/>
      <c r="Q4" s="125"/>
      <c r="R4" s="125"/>
      <c r="T4" s="126"/>
    </row>
    <row r="5" spans="2:20" ht="9.75" customHeight="1" thickBot="1" x14ac:dyDescent="0.3">
      <c r="C5" s="124"/>
      <c r="O5" s="127"/>
      <c r="P5" s="127"/>
      <c r="Q5" s="127"/>
      <c r="R5" s="127"/>
      <c r="T5" s="126"/>
    </row>
    <row r="6" spans="2:20" ht="18" customHeight="1" x14ac:dyDescent="0.25">
      <c r="B6" s="266" t="str">
        <f>languages!$B$12</f>
        <v>PROJECT DATA</v>
      </c>
      <c r="C6" s="128"/>
      <c r="D6" s="129"/>
      <c r="E6" s="129"/>
      <c r="F6" s="129"/>
      <c r="G6" s="129"/>
      <c r="H6" s="129"/>
      <c r="I6" s="129"/>
      <c r="J6" s="129"/>
      <c r="K6" s="129"/>
      <c r="L6" s="130"/>
      <c r="T6" s="126"/>
    </row>
    <row r="7" spans="2:20" ht="6" customHeight="1" x14ac:dyDescent="0.25">
      <c r="B7" s="131"/>
      <c r="C7" s="132"/>
      <c r="D7" s="133"/>
      <c r="E7" s="133"/>
      <c r="F7" s="133"/>
      <c r="G7" s="133"/>
      <c r="H7" s="133"/>
      <c r="I7" s="133"/>
      <c r="J7" s="133"/>
      <c r="K7" s="133"/>
      <c r="L7" s="134"/>
      <c r="T7" s="126"/>
    </row>
    <row r="8" spans="2:20" ht="18" customHeight="1" x14ac:dyDescent="0.25">
      <c r="B8" s="135"/>
      <c r="C8" s="263" t="str">
        <f>languages!$B$13</f>
        <v>Customer order no.:</v>
      </c>
      <c r="D8" s="335"/>
      <c r="E8" s="336"/>
      <c r="F8" s="136"/>
      <c r="G8" s="136"/>
      <c r="H8" s="136"/>
      <c r="I8" s="136"/>
      <c r="J8" s="264" t="str">
        <f>languages!$B$22</f>
        <v>Date of Delivery:</v>
      </c>
      <c r="K8" s="326">
        <v>45689</v>
      </c>
      <c r="L8" s="137"/>
      <c r="T8" s="126"/>
    </row>
    <row r="9" spans="2:20" ht="6" customHeight="1" x14ac:dyDescent="0.25">
      <c r="B9" s="138"/>
      <c r="C9" s="1"/>
      <c r="D9" s="1"/>
      <c r="E9" s="1"/>
      <c r="F9" s="1"/>
      <c r="G9" s="1"/>
      <c r="H9" s="139"/>
      <c r="I9" s="139"/>
      <c r="J9" s="139"/>
      <c r="K9" s="139"/>
      <c r="L9" s="140"/>
      <c r="T9" s="126"/>
    </row>
    <row r="10" spans="2:20" ht="18" customHeight="1" x14ac:dyDescent="0.25">
      <c r="B10" s="138"/>
      <c r="C10" s="141" t="str">
        <f>languages!$B$14</f>
        <v>Customer:</v>
      </c>
      <c r="D10" s="349"/>
      <c r="E10" s="350"/>
      <c r="F10" s="1"/>
      <c r="G10" s="1"/>
      <c r="H10" s="139"/>
      <c r="I10" s="139"/>
      <c r="J10" s="142" t="str">
        <f>languages!$B$23</f>
        <v>Number of Doors:</v>
      </c>
      <c r="K10" s="287">
        <v>1</v>
      </c>
      <c r="L10" s="140"/>
      <c r="R10" s="126"/>
      <c r="T10" s="126"/>
    </row>
    <row r="11" spans="2:20" ht="4.7" customHeight="1" x14ac:dyDescent="0.25">
      <c r="B11" s="138"/>
      <c r="C11" s="143"/>
      <c r="D11" s="1"/>
      <c r="E11" s="1"/>
      <c r="F11" s="1"/>
      <c r="G11" s="1"/>
      <c r="H11" s="139"/>
      <c r="I11" s="139"/>
      <c r="J11" s="144"/>
      <c r="K11" s="145"/>
      <c r="L11" s="140"/>
      <c r="R11" s="126"/>
      <c r="T11" s="126"/>
    </row>
    <row r="12" spans="2:20" ht="18" customHeight="1" x14ac:dyDescent="0.25">
      <c r="B12" s="138"/>
      <c r="C12" s="141" t="str">
        <f>languages!$B$15</f>
        <v>Reference:</v>
      </c>
      <c r="D12" s="349"/>
      <c r="E12" s="350"/>
      <c r="F12" s="1"/>
      <c r="G12" s="1"/>
      <c r="H12" s="139"/>
      <c r="I12" s="139"/>
      <c r="J12" s="142" t="str">
        <f>languages!$B$24</f>
        <v>Daylight Width (mm):</v>
      </c>
      <c r="K12" s="288">
        <v>3000</v>
      </c>
      <c r="L12" s="140"/>
      <c r="R12" s="126"/>
      <c r="T12" s="126"/>
    </row>
    <row r="13" spans="2:20" ht="6" customHeight="1" x14ac:dyDescent="0.25">
      <c r="B13" s="138"/>
      <c r="C13" s="1"/>
      <c r="D13" s="1"/>
      <c r="E13" s="1"/>
      <c r="F13" s="1"/>
      <c r="G13" s="1"/>
      <c r="H13" s="139"/>
      <c r="I13" s="139"/>
      <c r="J13" s="139"/>
      <c r="K13" s="139"/>
      <c r="L13" s="140"/>
      <c r="R13" s="126"/>
      <c r="T13" s="126"/>
    </row>
    <row r="14" spans="2:20" ht="18" customHeight="1" x14ac:dyDescent="0.25">
      <c r="B14" s="138"/>
      <c r="C14" s="141" t="str">
        <f>languages!$B$16</f>
        <v>Panel type:</v>
      </c>
      <c r="D14" s="285">
        <v>1</v>
      </c>
      <c r="E14" s="1"/>
      <c r="F14" s="1"/>
      <c r="G14" s="1"/>
      <c r="H14" s="139"/>
      <c r="I14" s="139"/>
      <c r="J14" s="142" t="str">
        <f>languages!$B$25</f>
        <v>Overlap (mm):</v>
      </c>
      <c r="K14" s="289">
        <v>0</v>
      </c>
      <c r="L14" s="146"/>
      <c r="T14" s="126"/>
    </row>
    <row r="15" spans="2:20" ht="6" customHeight="1" x14ac:dyDescent="0.25">
      <c r="B15" s="138"/>
      <c r="C15" s="141"/>
      <c r="D15" s="1"/>
      <c r="E15" s="1"/>
      <c r="F15" s="1"/>
      <c r="G15" s="1"/>
      <c r="H15" s="139"/>
      <c r="I15" s="139"/>
      <c r="J15" s="142"/>
      <c r="K15" s="147"/>
      <c r="L15" s="146"/>
      <c r="O15" s="125"/>
      <c r="P15" s="125"/>
      <c r="Q15" s="125"/>
      <c r="R15" s="125"/>
      <c r="T15" s="126"/>
    </row>
    <row r="16" spans="2:20" ht="18" customHeight="1" x14ac:dyDescent="0.25">
      <c r="B16" s="138"/>
      <c r="C16" s="141" t="str">
        <f>languages!$B$17</f>
        <v>Powdercoating:</v>
      </c>
      <c r="D16" s="285">
        <v>1</v>
      </c>
      <c r="E16" s="148"/>
      <c r="F16" s="1"/>
      <c r="G16" s="1"/>
      <c r="H16" s="139"/>
      <c r="I16" s="139"/>
      <c r="J16" s="265" t="str">
        <f>languages!$B$26</f>
        <v>Sections Width:</v>
      </c>
      <c r="K16" s="149" t="str">
        <f>CONCATENATE(K12+K14," mm")</f>
        <v>3000 mm</v>
      </c>
      <c r="L16" s="146"/>
      <c r="O16" s="127"/>
      <c r="P16" s="127"/>
      <c r="Q16" s="127"/>
      <c r="R16" s="127"/>
      <c r="T16" s="126"/>
    </row>
    <row r="17" spans="2:20" ht="6" customHeight="1" x14ac:dyDescent="0.25">
      <c r="B17" s="138"/>
      <c r="C17" s="1"/>
      <c r="D17" s="1"/>
      <c r="E17" s="1"/>
      <c r="F17" s="1"/>
      <c r="G17" s="1"/>
      <c r="H17" s="139"/>
      <c r="I17" s="139"/>
      <c r="J17" s="1"/>
      <c r="K17" s="1"/>
      <c r="L17" s="146"/>
      <c r="T17" s="126"/>
    </row>
    <row r="18" spans="2:20" ht="18" customHeight="1" x14ac:dyDescent="0.25">
      <c r="B18" s="138"/>
      <c r="C18" s="142" t="str">
        <f>IF(D16&gt;1,"RAL","")</f>
        <v/>
      </c>
      <c r="D18" s="286"/>
      <c r="E18" s="1"/>
      <c r="F18" s="1"/>
      <c r="G18" s="1"/>
      <c r="H18" s="139"/>
      <c r="I18" s="139"/>
      <c r="J18" s="142" t="str">
        <f>languages!$B$27</f>
        <v>Number of Fields:</v>
      </c>
      <c r="K18" s="287">
        <v>3</v>
      </c>
      <c r="L18" s="146"/>
      <c r="T18" s="126"/>
    </row>
    <row r="19" spans="2:20" ht="6" customHeight="1" x14ac:dyDescent="0.25">
      <c r="B19" s="138"/>
      <c r="C19" s="1"/>
      <c r="D19" s="1"/>
      <c r="E19" s="1"/>
      <c r="F19" s="1"/>
      <c r="G19" s="1"/>
      <c r="H19" s="139"/>
      <c r="I19" s="139"/>
      <c r="J19" s="139"/>
      <c r="K19" s="139"/>
      <c r="L19" s="146"/>
      <c r="T19" s="126"/>
    </row>
    <row r="20" spans="2:20" ht="18" customHeight="1" x14ac:dyDescent="0.25">
      <c r="B20" s="138"/>
      <c r="C20" s="143" t="str">
        <f>languages!$B$21</f>
        <v>Delivery:</v>
      </c>
      <c r="D20" s="285">
        <v>1</v>
      </c>
      <c r="E20" s="1"/>
      <c r="F20" s="1"/>
      <c r="G20" s="1"/>
      <c r="H20" s="139"/>
      <c r="I20" s="139"/>
      <c r="J20" s="265" t="str">
        <f>languages!$B$28</f>
        <v>Field Size (mm):</v>
      </c>
      <c r="K20" s="321">
        <f>($K$12+$K$14-(($K$18-1)*12.2+IF(paneltypes!$C$10,320,160)))/$K$18</f>
        <v>938.5333333333333</v>
      </c>
      <c r="L20" s="140"/>
      <c r="T20" s="126"/>
    </row>
    <row r="21" spans="2:20" ht="6" customHeight="1" thickBot="1" x14ac:dyDescent="0.3">
      <c r="B21" s="150"/>
      <c r="C21" s="151"/>
      <c r="D21" s="152"/>
      <c r="E21" s="152"/>
      <c r="F21" s="152"/>
      <c r="G21" s="152"/>
      <c r="H21" s="153"/>
      <c r="I21" s="153"/>
      <c r="J21" s="154"/>
      <c r="K21" s="155"/>
      <c r="L21" s="156"/>
      <c r="O21" s="125"/>
      <c r="P21" s="125"/>
      <c r="Q21" s="125"/>
      <c r="R21" s="125"/>
      <c r="T21" s="126"/>
    </row>
    <row r="22" spans="2:20" ht="12.2" customHeight="1" thickBot="1" x14ac:dyDescent="0.3">
      <c r="C22" s="157"/>
      <c r="K22" s="158"/>
      <c r="O22" s="127"/>
      <c r="P22" s="127"/>
      <c r="Q22" s="127"/>
      <c r="R22" s="127"/>
      <c r="T22" s="126"/>
    </row>
    <row r="23" spans="2:20" ht="18" customHeight="1" x14ac:dyDescent="0.25">
      <c r="B23" s="266" t="str">
        <f>languages!$B$29</f>
        <v>GLAZING</v>
      </c>
      <c r="C23" s="159"/>
      <c r="D23" s="159"/>
      <c r="E23" s="159"/>
      <c r="F23" s="160"/>
      <c r="H23" s="161"/>
      <c r="I23" s="162" t="str">
        <f>languages!$B$38</f>
        <v>SECTIONS</v>
      </c>
      <c r="J23" s="163"/>
      <c r="K23" s="163"/>
      <c r="L23" s="130"/>
      <c r="T23" s="126"/>
    </row>
    <row r="24" spans="2:20" x14ac:dyDescent="0.25">
      <c r="B24" s="164"/>
      <c r="C24" s="165"/>
      <c r="D24" s="165"/>
      <c r="E24" s="165"/>
      <c r="F24" s="166"/>
      <c r="H24" s="138"/>
      <c r="I24" s="1"/>
      <c r="J24" s="267" t="str">
        <f>languages!$B$39</f>
        <v>Qty per Door</v>
      </c>
      <c r="K24" s="267" t="str">
        <f>languages!$B$40</f>
        <v>Height (mm)</v>
      </c>
      <c r="L24" s="167"/>
      <c r="T24" s="126"/>
    </row>
    <row r="25" spans="2:20" ht="18" customHeight="1" x14ac:dyDescent="0.25">
      <c r="B25" s="138"/>
      <c r="C25" s="141" t="str">
        <f>languages!$B$30</f>
        <v>Glazing:</v>
      </c>
      <c r="D25" s="285">
        <v>1</v>
      </c>
      <c r="E25" s="168" t="str">
        <f>IF(AND(D25=1,D27=4),"not available","")</f>
        <v/>
      </c>
      <c r="F25" s="167"/>
      <c r="H25" s="138"/>
      <c r="I25" s="268" t="str">
        <f>languages!$B$41</f>
        <v>Top</v>
      </c>
      <c r="J25" s="290">
        <v>0</v>
      </c>
      <c r="K25" s="290">
        <v>500</v>
      </c>
      <c r="L25" s="167"/>
      <c r="T25" s="126"/>
    </row>
    <row r="26" spans="2:20" ht="6" customHeight="1" x14ac:dyDescent="0.25">
      <c r="B26" s="138"/>
      <c r="C26" s="1"/>
      <c r="D26" s="1"/>
      <c r="E26" s="1"/>
      <c r="F26" s="167"/>
      <c r="H26" s="138"/>
      <c r="I26" s="169"/>
      <c r="J26" s="1"/>
      <c r="K26" s="1"/>
      <c r="L26" s="167"/>
      <c r="T26" s="126"/>
    </row>
    <row r="27" spans="2:20" ht="18" customHeight="1" x14ac:dyDescent="0.25">
      <c r="B27" s="138"/>
      <c r="C27" s="141" t="str">
        <f>languages!$B$33</f>
        <v>Material:</v>
      </c>
      <c r="D27" s="285">
        <v>1</v>
      </c>
      <c r="E27" s="170" t="str">
        <f>VLOOKUP(D27,plexi!A:C,3,0)</f>
        <v>SAN - Clear, 2mm</v>
      </c>
      <c r="F27" s="167"/>
      <c r="H27" s="138"/>
      <c r="I27" s="268" t="str">
        <f>languages!$B$42</f>
        <v>Intermediate</v>
      </c>
      <c r="J27" s="290">
        <v>0</v>
      </c>
      <c r="K27" s="290">
        <v>500</v>
      </c>
      <c r="L27" s="167"/>
      <c r="O27" s="125"/>
      <c r="P27" s="125"/>
      <c r="Q27" s="125"/>
      <c r="R27" s="125"/>
      <c r="T27" s="126"/>
    </row>
    <row r="28" spans="2:20" ht="6" customHeight="1" x14ac:dyDescent="0.25">
      <c r="B28" s="138"/>
      <c r="C28" s="1"/>
      <c r="D28" s="1"/>
      <c r="E28" s="1"/>
      <c r="F28" s="167"/>
      <c r="H28" s="138"/>
      <c r="I28" s="169"/>
      <c r="J28" s="1"/>
      <c r="K28" s="1"/>
      <c r="L28" s="167"/>
      <c r="O28" s="127"/>
      <c r="P28" s="127"/>
      <c r="Q28" s="127"/>
      <c r="R28" s="127"/>
      <c r="T28" s="126"/>
    </row>
    <row r="29" spans="2:20" ht="18" customHeight="1" x14ac:dyDescent="0.25">
      <c r="B29" s="138"/>
      <c r="C29" s="141" t="str">
        <f>languages!$B$34</f>
        <v>Weight of Glass:</v>
      </c>
      <c r="D29" s="329">
        <f>VLOOKUP(D27,plexi!A:D,4,0)</f>
        <v>2.1598677785290366</v>
      </c>
      <c r="E29" s="171" t="s">
        <v>26</v>
      </c>
      <c r="F29" s="167"/>
      <c r="H29" s="138"/>
      <c r="I29" s="268" t="str">
        <f>languages!$B$43</f>
        <v>Bottom</v>
      </c>
      <c r="J29" s="290">
        <v>0</v>
      </c>
      <c r="K29" s="290">
        <v>500</v>
      </c>
      <c r="L29" s="167"/>
      <c r="T29" s="126"/>
    </row>
    <row r="30" spans="2:20" ht="6" customHeight="1" x14ac:dyDescent="0.25">
      <c r="B30" s="138"/>
      <c r="C30" s="143"/>
      <c r="D30" s="1"/>
      <c r="E30" s="1"/>
      <c r="F30" s="167"/>
      <c r="H30" s="138"/>
      <c r="I30" s="1"/>
      <c r="J30" s="1"/>
      <c r="K30" s="1"/>
      <c r="L30" s="167"/>
      <c r="R30" s="126"/>
      <c r="T30" s="126"/>
    </row>
    <row r="31" spans="2:20" ht="18" customHeight="1" x14ac:dyDescent="0.25">
      <c r="B31" s="138"/>
      <c r="C31" s="141" t="str">
        <f>languages!$B$35</f>
        <v>Glass Lath Mat.:</v>
      </c>
      <c r="D31" s="285">
        <v>1</v>
      </c>
      <c r="E31" s="168" t="str">
        <f>IF(AND(D25=1,D31=2),"not available","")</f>
        <v/>
      </c>
      <c r="F31" s="167"/>
      <c r="H31" s="138"/>
      <c r="I31" s="172"/>
      <c r="J31" s="269" t="str">
        <f>languages!$B$44</f>
        <v>Total Height (mm):</v>
      </c>
      <c r="K31" s="173">
        <f>J25*K25+J27*K27+J29*K29</f>
        <v>0</v>
      </c>
      <c r="L31" s="167"/>
      <c r="T31" s="126"/>
    </row>
    <row r="32" spans="2:20" ht="6" customHeight="1" thickBot="1" x14ac:dyDescent="0.3">
      <c r="B32" s="150"/>
      <c r="C32" s="152"/>
      <c r="D32" s="152"/>
      <c r="E32" s="152"/>
      <c r="F32" s="174"/>
      <c r="G32" s="175"/>
      <c r="H32" s="176"/>
      <c r="I32" s="177"/>
      <c r="J32" s="152"/>
      <c r="K32" s="152"/>
      <c r="L32" s="178"/>
      <c r="T32" s="126"/>
    </row>
    <row r="33" spans="2:20" ht="12.2" customHeight="1" thickBot="1" x14ac:dyDescent="0.3">
      <c r="G33" s="175"/>
      <c r="H33" s="175"/>
      <c r="I33" s="179"/>
      <c r="L33" s="175"/>
      <c r="T33" s="126"/>
    </row>
    <row r="34" spans="2:20" ht="18" customHeight="1" x14ac:dyDescent="0.25">
      <c r="B34" s="266" t="str">
        <f>languages!$B$45</f>
        <v>ALUBOND</v>
      </c>
      <c r="C34" s="162"/>
      <c r="D34" s="162"/>
      <c r="E34" s="162"/>
      <c r="F34" s="162"/>
      <c r="G34" s="162"/>
      <c r="H34" s="162"/>
      <c r="I34" s="162"/>
      <c r="J34" s="162"/>
      <c r="K34" s="162"/>
      <c r="L34" s="180"/>
      <c r="T34" s="126"/>
    </row>
    <row r="35" spans="2:20" ht="6" customHeight="1" x14ac:dyDescent="0.25">
      <c r="B35" s="138"/>
      <c r="C35" s="1"/>
      <c r="D35" s="1"/>
      <c r="E35" s="1"/>
      <c r="F35" s="1"/>
      <c r="G35" s="181"/>
      <c r="H35" s="181"/>
      <c r="I35" s="172"/>
      <c r="J35" s="1"/>
      <c r="K35" s="1"/>
      <c r="L35" s="182"/>
      <c r="T35" s="126"/>
    </row>
    <row r="36" spans="2:20" ht="14.25" customHeight="1" x14ac:dyDescent="0.25">
      <c r="B36" s="138"/>
      <c r="C36" s="183" t="str">
        <f>languages!$B$46</f>
        <v>Please indicate below where you need alubond instead of glass.</v>
      </c>
      <c r="D36" s="1"/>
      <c r="E36" s="1"/>
      <c r="F36" s="1"/>
      <c r="G36" s="181"/>
      <c r="H36" s="181"/>
      <c r="I36" s="172"/>
      <c r="J36" s="1"/>
      <c r="K36" s="1"/>
      <c r="L36" s="182"/>
      <c r="T36" s="126"/>
    </row>
    <row r="37" spans="2:20" ht="6" customHeight="1" x14ac:dyDescent="0.25">
      <c r="B37" s="138"/>
      <c r="C37" s="1"/>
      <c r="D37" s="1"/>
      <c r="E37" s="1"/>
      <c r="F37" s="1"/>
      <c r="G37" s="181"/>
      <c r="H37" s="181"/>
      <c r="I37" s="172"/>
      <c r="J37" s="1"/>
      <c r="K37" s="1"/>
      <c r="L37" s="182"/>
      <c r="T37" s="126"/>
    </row>
    <row r="38" spans="2:20" ht="14.25" customHeight="1" x14ac:dyDescent="0.25">
      <c r="B38" s="138"/>
      <c r="C38" s="143" t="str">
        <f>languages!$B$47</f>
        <v>Alubond type:</v>
      </c>
      <c r="D38" s="285">
        <v>1</v>
      </c>
      <c r="E38" s="184" t="str">
        <f>VLOOKUP(D38,alubond!A2:C5,3,0)</f>
        <v>20mm nikecell covered by 0.8mm stucco alu plates on both sides</v>
      </c>
      <c r="F38" s="1"/>
      <c r="G38" s="181"/>
      <c r="H38" s="181"/>
      <c r="I38" s="172"/>
      <c r="J38" s="1"/>
      <c r="K38" s="1"/>
      <c r="L38" s="182"/>
      <c r="O38" s="175"/>
      <c r="Q38" s="330" t="b">
        <v>1</v>
      </c>
      <c r="T38" s="126"/>
    </row>
    <row r="39" spans="2:20" ht="6" customHeight="1" x14ac:dyDescent="0.25">
      <c r="B39" s="138"/>
      <c r="C39" s="1"/>
      <c r="D39" s="1"/>
      <c r="E39" s="1"/>
      <c r="F39" s="1"/>
      <c r="G39" s="181"/>
      <c r="H39" s="181"/>
      <c r="I39" s="172"/>
      <c r="J39" s="1"/>
      <c r="K39" s="1"/>
      <c r="L39" s="182"/>
      <c r="T39" s="126"/>
    </row>
    <row r="40" spans="2:20" ht="21.2" customHeight="1" thickBot="1" x14ac:dyDescent="0.3">
      <c r="B40" s="150"/>
      <c r="C40" s="270" t="str">
        <f>languages!$B$52</f>
        <v>top section:</v>
      </c>
      <c r="D40" s="152"/>
      <c r="E40" s="270" t="str">
        <f>languages!$B$53</f>
        <v>intermediate sections:</v>
      </c>
      <c r="F40" s="152"/>
      <c r="G40" s="152"/>
      <c r="H40" s="152"/>
      <c r="I40" s="270" t="str">
        <f>languages!$B$54</f>
        <v>bottom section:</v>
      </c>
      <c r="J40" s="152"/>
      <c r="K40" s="152"/>
      <c r="L40" s="178"/>
      <c r="T40" s="126"/>
    </row>
    <row r="41" spans="2:20" ht="14.25" hidden="1" customHeight="1" thickBot="1" x14ac:dyDescent="0.3">
      <c r="B41" s="185"/>
      <c r="C41" s="186"/>
      <c r="D41" s="291" t="b">
        <v>0</v>
      </c>
      <c r="E41" s="186"/>
      <c r="F41" s="291" t="b">
        <v>0</v>
      </c>
      <c r="G41" s="186"/>
      <c r="H41" s="186"/>
      <c r="I41" s="187"/>
      <c r="J41" s="291" t="b">
        <v>0</v>
      </c>
      <c r="K41" s="186"/>
      <c r="L41" s="188"/>
      <c r="T41" s="126"/>
    </row>
    <row r="42" spans="2:20" ht="12.2" customHeight="1" thickBot="1" x14ac:dyDescent="0.3">
      <c r="J42" s="189"/>
      <c r="K42" s="190"/>
      <c r="O42" s="125"/>
      <c r="P42" s="125"/>
      <c r="Q42" s="125"/>
      <c r="R42" s="125"/>
      <c r="T42" s="126"/>
    </row>
    <row r="43" spans="2:20" ht="18" customHeight="1" x14ac:dyDescent="0.25">
      <c r="B43" s="266" t="str">
        <f>languages!$B$55</f>
        <v>DOUBLE AND REINFORCED PROFILES</v>
      </c>
      <c r="C43" s="162"/>
      <c r="D43" s="162"/>
      <c r="E43" s="162"/>
      <c r="F43" s="162"/>
      <c r="G43" s="162"/>
      <c r="H43" s="162"/>
      <c r="I43" s="162"/>
      <c r="J43" s="162"/>
      <c r="K43" s="162"/>
      <c r="L43" s="180"/>
      <c r="O43" s="127"/>
      <c r="P43" s="127"/>
      <c r="Q43" s="127"/>
      <c r="R43" s="127"/>
      <c r="T43" s="126"/>
    </row>
    <row r="44" spans="2:20" ht="6" customHeight="1" x14ac:dyDescent="0.25">
      <c r="B44" s="191"/>
      <c r="C44" s="192"/>
      <c r="D44" s="192"/>
      <c r="E44" s="192"/>
      <c r="F44" s="192"/>
      <c r="G44" s="192"/>
      <c r="H44" s="192"/>
      <c r="I44" s="192"/>
      <c r="J44" s="192"/>
      <c r="K44" s="192"/>
      <c r="L44" s="193"/>
      <c r="O44" s="127"/>
      <c r="P44" s="127"/>
      <c r="Q44" s="127"/>
      <c r="R44" s="127"/>
      <c r="T44" s="126"/>
    </row>
    <row r="45" spans="2:20" ht="17.649999999999999" customHeight="1" x14ac:dyDescent="0.25">
      <c r="B45" s="255"/>
      <c r="C45" s="258" t="str">
        <f>languages!$B$56</f>
        <v>Apply recommended settings</v>
      </c>
      <c r="D45" s="256"/>
      <c r="E45" s="256"/>
      <c r="F45" s="256"/>
      <c r="G45" s="256"/>
      <c r="H45" s="256"/>
      <c r="I45" s="256"/>
      <c r="J45" s="256"/>
      <c r="K45" s="256"/>
      <c r="L45" s="257"/>
      <c r="O45" s="127"/>
      <c r="P45" s="127"/>
      <c r="Q45" s="127"/>
      <c r="R45" s="127"/>
      <c r="T45" s="126"/>
    </row>
    <row r="46" spans="2:20" ht="6" customHeight="1" x14ac:dyDescent="0.25">
      <c r="B46" s="255"/>
      <c r="C46" s="256"/>
      <c r="D46" s="256"/>
      <c r="E46" s="256"/>
      <c r="F46" s="256"/>
      <c r="G46" s="256"/>
      <c r="H46" s="256"/>
      <c r="I46" s="256"/>
      <c r="J46" s="256"/>
      <c r="K46" s="256"/>
      <c r="L46" s="257"/>
      <c r="O46" s="127"/>
      <c r="P46" s="127"/>
      <c r="Q46" s="127"/>
      <c r="R46" s="127"/>
      <c r="T46" s="126"/>
    </row>
    <row r="47" spans="2:20" ht="18" customHeight="1" x14ac:dyDescent="0.25">
      <c r="B47" s="253"/>
      <c r="C47" s="258" t="str">
        <f>languages!$B$57</f>
        <v>A1D double side profiles in each section (recommended if section width &gt;= 5000mm)</v>
      </c>
      <c r="D47" s="258"/>
      <c r="E47" s="1"/>
      <c r="F47" s="1"/>
      <c r="G47" s="171"/>
      <c r="H47" s="1"/>
      <c r="I47" s="259"/>
      <c r="J47" s="259"/>
      <c r="K47" s="252"/>
      <c r="L47" s="194"/>
      <c r="T47" s="126"/>
    </row>
    <row r="48" spans="2:20" ht="6" customHeight="1" x14ac:dyDescent="0.25">
      <c r="B48" s="138"/>
      <c r="C48" s="1"/>
      <c r="D48" s="258"/>
      <c r="E48" s="1"/>
      <c r="F48" s="1"/>
      <c r="G48" s="1"/>
      <c r="H48" s="1"/>
      <c r="I48" s="1"/>
      <c r="J48" s="143"/>
      <c r="K48" s="1"/>
      <c r="L48" s="167"/>
      <c r="T48" s="126"/>
    </row>
    <row r="49" spans="2:20" ht="18" customHeight="1" x14ac:dyDescent="0.25">
      <c r="B49" s="253"/>
      <c r="C49" s="258" t="str">
        <f>languages!$B$58</f>
        <v>A1D double bottom profile in bottom section (recommended if section width &gt;= 6000mm)</v>
      </c>
      <c r="D49" s="258"/>
      <c r="E49" s="141"/>
      <c r="F49" s="1"/>
      <c r="G49" s="171"/>
      <c r="H49" s="1"/>
      <c r="I49" s="1"/>
      <c r="J49" s="1"/>
      <c r="K49" s="252"/>
      <c r="L49" s="167"/>
      <c r="T49" s="126"/>
    </row>
    <row r="50" spans="2:20" ht="6" customHeight="1" x14ac:dyDescent="0.25">
      <c r="B50" s="138"/>
      <c r="C50" s="1"/>
      <c r="D50" s="1"/>
      <c r="E50" s="1"/>
      <c r="F50" s="1"/>
      <c r="G50" s="1"/>
      <c r="H50" s="1"/>
      <c r="I50" s="1"/>
      <c r="J50" s="143"/>
      <c r="K50" s="171"/>
      <c r="L50" s="167"/>
      <c r="T50" s="126"/>
    </row>
    <row r="51" spans="2:20" ht="18" customHeight="1" x14ac:dyDescent="0.25">
      <c r="B51" s="254"/>
      <c r="C51" s="258" t="str">
        <f>INDEX(paneltypes!$O$2:$O$6,$D$14)</f>
        <v>A4R reinforced upper profiles in intermediate and bottom sections (recommended if section width &gt;= 4500mm)</v>
      </c>
      <c r="D51" s="141"/>
      <c r="E51" s="1"/>
      <c r="F51" s="1"/>
      <c r="G51" s="171"/>
      <c r="H51" s="1"/>
      <c r="I51" s="1"/>
      <c r="J51" s="1"/>
      <c r="K51" s="252"/>
      <c r="L51" s="167"/>
      <c r="M51" s="303"/>
      <c r="O51" s="125"/>
      <c r="P51" s="125"/>
      <c r="Q51" s="125"/>
      <c r="R51" s="125"/>
      <c r="T51" s="126"/>
    </row>
    <row r="52" spans="2:20" ht="6" customHeight="1" x14ac:dyDescent="0.25">
      <c r="B52" s="138"/>
      <c r="C52" s="171"/>
      <c r="D52" s="141"/>
      <c r="E52" s="195"/>
      <c r="F52" s="1"/>
      <c r="G52" s="171"/>
      <c r="H52" s="1"/>
      <c r="I52" s="1"/>
      <c r="J52" s="143"/>
      <c r="K52" s="1"/>
      <c r="L52" s="167"/>
      <c r="O52" s="127"/>
      <c r="P52" s="127"/>
      <c r="Q52" s="127"/>
      <c r="R52" s="127"/>
      <c r="T52" s="126"/>
    </row>
    <row r="53" spans="2:20" ht="18" customHeight="1" x14ac:dyDescent="0.25">
      <c r="B53" s="254"/>
      <c r="C53" s="258" t="str">
        <f>INDEX(paneltypes!$P$2:$P$6,$D$14)</f>
        <v>A5R extra reinforcement on reinforced upper profiles (recommended if section width &gt;= 6000mm)</v>
      </c>
      <c r="D53" s="141"/>
      <c r="E53" s="141"/>
      <c r="F53" s="141"/>
      <c r="G53" s="141"/>
      <c r="H53" s="1"/>
      <c r="I53" s="1"/>
      <c r="J53" s="1"/>
      <c r="K53" s="252"/>
      <c r="L53" s="167"/>
      <c r="T53" s="126"/>
    </row>
    <row r="54" spans="2:20" ht="6" customHeight="1" thickBot="1" x14ac:dyDescent="0.3">
      <c r="B54" s="150"/>
      <c r="C54" s="196"/>
      <c r="D54" s="197"/>
      <c r="E54" s="198"/>
      <c r="F54" s="152"/>
      <c r="G54" s="196"/>
      <c r="H54" s="152"/>
      <c r="I54" s="152"/>
      <c r="J54" s="151"/>
      <c r="K54" s="152"/>
      <c r="L54" s="174"/>
      <c r="T54" s="126"/>
    </row>
    <row r="55" spans="2:20" ht="10.5" customHeight="1" thickBot="1" x14ac:dyDescent="0.3">
      <c r="J55" s="157"/>
      <c r="T55" s="126"/>
    </row>
    <row r="56" spans="2:20" ht="18" customHeight="1" x14ac:dyDescent="0.25">
      <c r="B56" s="266" t="str">
        <f>languages!$B$97</f>
        <v>PASSDOOR</v>
      </c>
      <c r="C56" s="162"/>
      <c r="D56" s="162"/>
      <c r="E56" s="162"/>
      <c r="F56" s="162"/>
      <c r="G56" s="162"/>
      <c r="H56" s="162"/>
      <c r="I56" s="162"/>
      <c r="J56" s="162"/>
      <c r="K56" s="162"/>
      <c r="L56" s="180"/>
      <c r="T56" s="126"/>
    </row>
    <row r="57" spans="2:20" ht="6.75" customHeight="1" x14ac:dyDescent="0.25">
      <c r="B57" s="138"/>
      <c r="C57" s="1"/>
      <c r="D57" s="1"/>
      <c r="E57" s="1"/>
      <c r="F57" s="1"/>
      <c r="G57" s="1"/>
      <c r="H57" s="1"/>
      <c r="I57" s="1"/>
      <c r="J57" s="143"/>
      <c r="K57" s="1"/>
      <c r="L57" s="167"/>
      <c r="T57" s="126"/>
    </row>
    <row r="58" spans="2:20" ht="18" customHeight="1" x14ac:dyDescent="0.25">
      <c r="B58" s="138"/>
      <c r="C58" s="143" t="str">
        <f>languages!$B$98</f>
        <v xml:space="preserve">Passdoor type: </v>
      </c>
      <c r="D58" s="285">
        <v>1</v>
      </c>
      <c r="E58" s="300" t="str">
        <f>IF($D$58&gt;1,IF($J$25+$J$29&gt;0,languages!$B$106,IF($K$12+$K$14&gt;5000,languages!$B$107,IF(AND($D$14=1,$D$58=2),languages!$B$108,""))),"")</f>
        <v/>
      </c>
      <c r="F58" s="1"/>
      <c r="G58" s="1"/>
      <c r="H58" s="1"/>
      <c r="I58" s="1"/>
      <c r="J58" s="1"/>
      <c r="K58" s="325"/>
      <c r="L58" s="167"/>
      <c r="T58" s="126"/>
    </row>
    <row r="59" spans="2:20" ht="7.5" customHeight="1" x14ac:dyDescent="0.25">
      <c r="B59" s="138"/>
      <c r="C59" s="1"/>
      <c r="D59" s="1"/>
      <c r="E59" s="1"/>
      <c r="F59" s="1"/>
      <c r="G59" s="1"/>
      <c r="H59" s="1"/>
      <c r="I59" s="1"/>
      <c r="J59" s="143"/>
      <c r="K59" s="1"/>
      <c r="L59" s="167"/>
      <c r="T59" s="126"/>
    </row>
    <row r="60" spans="2:20" ht="18" hidden="1" customHeight="1" thickTop="1" thickBot="1" x14ac:dyDescent="0.3">
      <c r="B60" s="138"/>
      <c r="C60" s="141" t="str">
        <f>languages!$B$100</f>
        <v>Passdoor's outer width (mm):</v>
      </c>
      <c r="D60" s="324"/>
      <c r="E60" s="1"/>
      <c r="F60" s="1"/>
      <c r="G60" s="1"/>
      <c r="H60" s="143"/>
      <c r="I60" s="141" t="str">
        <f>languages!$B$101</f>
        <v>Passdoor's inner width (mm):</v>
      </c>
      <c r="J60" s="324"/>
      <c r="K60" s="301" t="str">
        <f>(J60-2*80-10)&amp;" mm"</f>
        <v>-170 mm</v>
      </c>
      <c r="L60" s="167"/>
      <c r="T60" s="126"/>
    </row>
    <row r="61" spans="2:20" ht="7.5" hidden="1" customHeight="1" thickTop="1" thickBot="1" x14ac:dyDescent="0.3">
      <c r="B61" s="138"/>
      <c r="C61" s="1"/>
      <c r="D61" s="1"/>
      <c r="E61" s="1"/>
      <c r="F61" s="1"/>
      <c r="G61" s="1"/>
      <c r="H61" s="1"/>
      <c r="I61" s="1"/>
      <c r="J61" s="143"/>
      <c r="K61" s="1"/>
      <c r="L61" s="167"/>
      <c r="T61" s="126"/>
    </row>
    <row r="62" spans="2:20" ht="18" hidden="1" customHeight="1" thickTop="1" thickBot="1" x14ac:dyDescent="0.3">
      <c r="B62" s="138"/>
      <c r="C62" s="141" t="str">
        <f>languages!$B$102</f>
        <v>Left section's width (mm):</v>
      </c>
      <c r="D62" s="324"/>
      <c r="E62" s="1"/>
      <c r="F62" s="1"/>
      <c r="G62" s="1"/>
      <c r="H62" s="143"/>
      <c r="I62" s="141" t="str">
        <f>languages!$B$103</f>
        <v>No. of fields in left section:</v>
      </c>
      <c r="J62" s="324"/>
      <c r="K62" s="302" t="e">
        <f>ROUND((D62-80-(J62-1)*12.2-IF(paneltypes!$C$10,160,80))/J62-10,0)&amp;" mm"</f>
        <v>#DIV/0!</v>
      </c>
      <c r="L62" s="167"/>
      <c r="T62" s="126"/>
    </row>
    <row r="63" spans="2:20" ht="8.25" hidden="1" customHeight="1" thickTop="1" thickBot="1" x14ac:dyDescent="0.3">
      <c r="B63" s="138"/>
      <c r="C63" s="1"/>
      <c r="D63" s="1"/>
      <c r="E63" s="1"/>
      <c r="F63" s="1"/>
      <c r="G63" s="1"/>
      <c r="H63" s="1"/>
      <c r="I63" s="1"/>
      <c r="J63" s="143"/>
      <c r="K63" s="1"/>
      <c r="L63" s="167"/>
      <c r="T63" s="126"/>
    </row>
    <row r="64" spans="2:20" ht="18" hidden="1" customHeight="1" thickTop="1" thickBot="1" x14ac:dyDescent="0.3">
      <c r="B64" s="138"/>
      <c r="C64" s="141" t="str">
        <f>languages!$B$104</f>
        <v>Right section's width (mm):</v>
      </c>
      <c r="D64" s="324"/>
      <c r="E64" s="1"/>
      <c r="F64" s="1"/>
      <c r="G64" s="1"/>
      <c r="H64" s="1"/>
      <c r="I64" s="141" t="str">
        <f>languages!$B$105</f>
        <v>No. of fields in right section:</v>
      </c>
      <c r="J64" s="324"/>
      <c r="K64" s="302" t="e">
        <f>ROUND((D64-80-(J64-1)*12.2-IF(paneltypes!$C$10,160,80))/J64-10,0)&amp;" mm"</f>
        <v>#DIV/0!</v>
      </c>
      <c r="L64" s="167"/>
      <c r="T64" s="126"/>
    </row>
    <row r="65" spans="2:20" ht="10.5" customHeight="1" thickBot="1" x14ac:dyDescent="0.3">
      <c r="B65" s="150"/>
      <c r="C65" s="152"/>
      <c r="D65" s="152"/>
      <c r="E65" s="152"/>
      <c r="F65" s="152"/>
      <c r="G65" s="152"/>
      <c r="H65" s="152"/>
      <c r="I65" s="197"/>
      <c r="J65" s="197"/>
      <c r="K65" s="152"/>
      <c r="L65" s="174"/>
      <c r="T65" s="126"/>
    </row>
    <row r="66" spans="2:20" ht="10.5" customHeight="1" thickBot="1" x14ac:dyDescent="0.3">
      <c r="J66" s="157"/>
      <c r="T66" s="126"/>
    </row>
    <row r="67" spans="2:20" ht="18" customHeight="1" x14ac:dyDescent="0.25">
      <c r="B67" s="266" t="str">
        <f>languages!$B$69</f>
        <v>PROJECT SUMMARY</v>
      </c>
      <c r="C67" s="159"/>
      <c r="D67" s="159"/>
      <c r="E67" s="159"/>
      <c r="F67" s="160"/>
      <c r="H67" s="266" t="str">
        <f>languages!$B$73</f>
        <v>PRICE CALCULATION</v>
      </c>
      <c r="I67" s="162"/>
      <c r="J67" s="162"/>
      <c r="K67" s="162"/>
      <c r="L67" s="180"/>
      <c r="T67" s="126"/>
    </row>
    <row r="68" spans="2:20" ht="6" customHeight="1" x14ac:dyDescent="0.25">
      <c r="B68" s="164"/>
      <c r="C68" s="165"/>
      <c r="D68" s="165"/>
      <c r="E68" s="165"/>
      <c r="F68" s="166"/>
      <c r="H68" s="164"/>
      <c r="I68" s="165"/>
      <c r="J68" s="165"/>
      <c r="K68" s="165"/>
      <c r="L68" s="166"/>
      <c r="T68" s="126"/>
    </row>
    <row r="69" spans="2:20" ht="18" customHeight="1" x14ac:dyDescent="0.25">
      <c r="B69" s="138"/>
      <c r="C69" s="1"/>
      <c r="D69" s="271" t="str">
        <f>languages!$B$70</f>
        <v>Door (or ALU Sections Total) Size:</v>
      </c>
      <c r="E69" s="199" t="str">
        <f>CONCATENATE(K12+K14,"x",K31," mm")</f>
        <v>3000x0 mm</v>
      </c>
      <c r="F69" s="167"/>
      <c r="H69" s="138"/>
      <c r="I69" s="1"/>
      <c r="J69" s="200" t="str">
        <f>languages!$B$74</f>
        <v>Gross Sales Price:</v>
      </c>
      <c r="K69" s="299">
        <f>K10*(J25*'price calculation'!K57+J27*'price calculation'!X57+J29*'price calculation'!AK57)</f>
        <v>0</v>
      </c>
      <c r="L69" s="167"/>
      <c r="O69" s="125"/>
      <c r="P69" s="125"/>
      <c r="Q69" s="125"/>
      <c r="R69" s="125"/>
      <c r="T69" s="126"/>
    </row>
    <row r="70" spans="2:20" ht="6" customHeight="1" x14ac:dyDescent="0.25">
      <c r="B70" s="138"/>
      <c r="C70" s="1"/>
      <c r="D70" s="200"/>
      <c r="E70" s="183"/>
      <c r="F70" s="167"/>
      <c r="H70" s="138"/>
      <c r="I70" s="1"/>
      <c r="J70" s="1"/>
      <c r="K70" s="1"/>
      <c r="L70" s="167"/>
      <c r="O70" s="127"/>
      <c r="P70" s="127"/>
      <c r="Q70" s="127"/>
      <c r="R70" s="127"/>
      <c r="T70" s="126"/>
    </row>
    <row r="71" spans="2:20" ht="18" customHeight="1" x14ac:dyDescent="0.25">
      <c r="B71" s="138"/>
      <c r="C71" s="1"/>
      <c r="D71" s="271" t="str">
        <f>languages!$B$71</f>
        <v>Total weight per Door:</v>
      </c>
      <c r="E71" s="201" t="str">
        <f>CONCATENATE(ROUND(J25*SUM('price calculation'!I6:I29)+J27*SUM('price calculation'!V6:V29)+J29*SUM('price calculation'!AI6:AI29),0)," kg")</f>
        <v>0 kg</v>
      </c>
      <c r="F71" s="167"/>
      <c r="H71" s="138"/>
      <c r="I71" s="1"/>
      <c r="J71" s="272" t="str">
        <f>languages!$B$75</f>
        <v>Discount:</v>
      </c>
      <c r="K71" s="293">
        <v>0</v>
      </c>
      <c r="L71" s="202"/>
      <c r="T71" s="126"/>
    </row>
    <row r="72" spans="2:20" ht="6" customHeight="1" x14ac:dyDescent="0.25">
      <c r="B72" s="138"/>
      <c r="C72" s="1"/>
      <c r="D72" s="200"/>
      <c r="E72" s="183"/>
      <c r="F72" s="167"/>
      <c r="H72" s="138"/>
      <c r="I72" s="1"/>
      <c r="J72" s="1"/>
      <c r="K72" s="1"/>
      <c r="L72" s="167"/>
      <c r="T72" s="126"/>
    </row>
    <row r="73" spans="2:20" ht="18" customHeight="1" x14ac:dyDescent="0.3">
      <c r="B73" s="138"/>
      <c r="C73" s="1"/>
      <c r="D73" s="271" t="str">
        <f>languages!$B$72</f>
        <v>Total number of Sections:</v>
      </c>
      <c r="E73" s="203">
        <f>(J25+J27+J29)*K10</f>
        <v>0</v>
      </c>
      <c r="F73" s="167"/>
      <c r="H73" s="138"/>
      <c r="I73" s="204"/>
      <c r="J73" s="273" t="str">
        <f>languages!$B$76</f>
        <v>Discounted Sales Price:</v>
      </c>
      <c r="K73" s="298">
        <f>K69*(1-K71)</f>
        <v>0</v>
      </c>
      <c r="L73" s="167"/>
      <c r="T73" s="126"/>
    </row>
    <row r="74" spans="2:20" ht="6" customHeight="1" thickBot="1" x14ac:dyDescent="0.3">
      <c r="B74" s="150"/>
      <c r="C74" s="152"/>
      <c r="D74" s="152"/>
      <c r="E74" s="152"/>
      <c r="F74" s="174"/>
      <c r="H74" s="150"/>
      <c r="I74" s="152"/>
      <c r="J74" s="152"/>
      <c r="K74" s="152"/>
      <c r="L74" s="174"/>
      <c r="T74" s="126"/>
    </row>
    <row r="75" spans="2:20" ht="8.4499999999999993" customHeight="1" x14ac:dyDescent="0.25">
      <c r="T75" s="126"/>
    </row>
    <row r="76" spans="2:20" ht="18" customHeight="1" x14ac:dyDescent="0.25">
      <c r="B76" s="274" t="str">
        <f>languages!$B$77</f>
        <v>Comments:</v>
      </c>
      <c r="C76" s="123"/>
      <c r="D76" s="123"/>
      <c r="E76" s="123"/>
      <c r="F76" s="123"/>
      <c r="G76" s="123"/>
      <c r="H76" s="123"/>
      <c r="I76" s="123"/>
      <c r="J76" s="123"/>
      <c r="K76" s="123"/>
      <c r="L76" s="123"/>
      <c r="T76" s="126"/>
    </row>
    <row r="77" spans="2:20" x14ac:dyDescent="0.25">
      <c r="B77" s="340"/>
      <c r="C77" s="341"/>
      <c r="D77" s="341"/>
      <c r="E77" s="341"/>
      <c r="F77" s="341"/>
      <c r="G77" s="341"/>
      <c r="H77" s="341"/>
      <c r="I77" s="341"/>
      <c r="J77" s="341"/>
      <c r="K77" s="341"/>
      <c r="L77" s="342"/>
      <c r="T77" s="126"/>
    </row>
    <row r="78" spans="2:20" x14ac:dyDescent="0.25">
      <c r="B78" s="343"/>
      <c r="C78" s="344"/>
      <c r="D78" s="344"/>
      <c r="E78" s="344"/>
      <c r="F78" s="344"/>
      <c r="G78" s="344"/>
      <c r="H78" s="344"/>
      <c r="I78" s="344"/>
      <c r="J78" s="344"/>
      <c r="K78" s="344"/>
      <c r="L78" s="345"/>
      <c r="T78" s="126"/>
    </row>
    <row r="79" spans="2:20" x14ac:dyDescent="0.25">
      <c r="B79" s="346"/>
      <c r="C79" s="347"/>
      <c r="D79" s="347"/>
      <c r="E79" s="347"/>
      <c r="F79" s="347"/>
      <c r="G79" s="347"/>
      <c r="H79" s="347"/>
      <c r="I79" s="347"/>
      <c r="J79" s="347"/>
      <c r="K79" s="347"/>
      <c r="L79" s="348"/>
      <c r="T79" s="126"/>
    </row>
    <row r="80" spans="2:20" ht="10.5" customHeight="1" x14ac:dyDescent="0.25">
      <c r="T80" s="126"/>
    </row>
    <row r="81" spans="2:20" ht="18" x14ac:dyDescent="0.25">
      <c r="C81" s="205"/>
      <c r="D81" s="275" t="str">
        <f>languages!$B$78</f>
        <v>GLASS SIZES</v>
      </c>
      <c r="E81" s="206"/>
      <c r="O81" s="334" t="s">
        <v>151</v>
      </c>
      <c r="P81" s="334"/>
      <c r="Q81" s="334"/>
      <c r="R81" s="334"/>
      <c r="S81" s="333"/>
      <c r="T81" s="331" t="s">
        <v>221</v>
      </c>
    </row>
    <row r="82" spans="2:20" x14ac:dyDescent="0.25">
      <c r="C82" s="276" t="str">
        <f>languages!$B$79</f>
        <v>Sections</v>
      </c>
      <c r="D82" s="277" t="str">
        <f>languages!$B$80</f>
        <v>Width (mm)</v>
      </c>
      <c r="E82" s="277" t="str">
        <f>languages!$B$81</f>
        <v>Height (mm)</v>
      </c>
      <c r="F82" s="207"/>
      <c r="G82" s="278" t="str">
        <f>languages!$B$82</f>
        <v>Qty</v>
      </c>
      <c r="O82" s="208" t="s">
        <v>152</v>
      </c>
      <c r="P82" s="208" t="s">
        <v>153</v>
      </c>
      <c r="Q82" s="208" t="s">
        <v>154</v>
      </c>
      <c r="R82" s="208" t="s">
        <v>155</v>
      </c>
      <c r="S82" s="333"/>
      <c r="T82" s="331"/>
    </row>
    <row r="83" spans="2:20" x14ac:dyDescent="0.25">
      <c r="C83" s="279" t="str">
        <f>languages!$B$83</f>
        <v>Top</v>
      </c>
      <c r="D83" s="209">
        <f>ROUND(K$20-10,0)</f>
        <v>929</v>
      </c>
      <c r="E83" s="210">
        <f>K25-10-VLOOKUP(D14,paneltypes!A:G,7,0)</f>
        <v>370</v>
      </c>
      <c r="F83" s="165"/>
      <c r="G83" s="211">
        <f>$K$10*$K$18*$J$25</f>
        <v>0</v>
      </c>
      <c r="O83" s="212" t="s">
        <v>156</v>
      </c>
      <c r="P83" s="212" t="s">
        <v>157</v>
      </c>
      <c r="Q83" s="190">
        <v>10.199999999999999</v>
      </c>
      <c r="R83" s="190" t="s">
        <v>158</v>
      </c>
      <c r="S83" s="333"/>
      <c r="T83" s="331"/>
    </row>
    <row r="84" spans="2:20" x14ac:dyDescent="0.25">
      <c r="C84" s="280" t="str">
        <f>languages!$B$84</f>
        <v>Intermediate</v>
      </c>
      <c r="D84" s="213">
        <f>IF($D$58&gt;1,IF($J$60&gt;170,ROUND($J$60-2*80-10,0)," -"),ROUND($K$20-10,0))</f>
        <v>929</v>
      </c>
      <c r="E84" s="214">
        <f>K27-10-VLOOKUP(D14,paneltypes!A:H,8,0)</f>
        <v>410</v>
      </c>
      <c r="F84" s="1"/>
      <c r="G84" s="215">
        <f>$K$10*$J$27*($K$18-$J$62-$J$64)</f>
        <v>0</v>
      </c>
      <c r="O84" s="212" t="s">
        <v>159</v>
      </c>
      <c r="P84" s="212" t="s">
        <v>157</v>
      </c>
      <c r="Q84" s="190">
        <v>16.899999999999999</v>
      </c>
      <c r="R84" s="190" t="s">
        <v>160</v>
      </c>
      <c r="S84" s="333"/>
      <c r="T84" s="331"/>
    </row>
    <row r="85" spans="2:20" hidden="1" x14ac:dyDescent="0.25">
      <c r="C85" s="280" t="str">
        <f>languages!$B$109</f>
        <v>Intermediate left</v>
      </c>
      <c r="D85" s="213">
        <f>IF($J$62&gt;0,ROUND(($D$62-80-($J$62-1)*13-IF(paneltypes!$C$10,160,80))/$J$62-10,0),0)</f>
        <v>0</v>
      </c>
      <c r="E85" s="214">
        <f>IF($J$62&gt;0,E84,0)</f>
        <v>0</v>
      </c>
      <c r="F85" s="1"/>
      <c r="G85" s="215">
        <f>$K$10*$J$27*$J$62</f>
        <v>0</v>
      </c>
      <c r="O85" s="212"/>
      <c r="P85" s="212"/>
      <c r="Q85" s="190"/>
      <c r="R85" s="190"/>
      <c r="S85" s="333"/>
      <c r="T85" s="331"/>
    </row>
    <row r="86" spans="2:20" hidden="1" x14ac:dyDescent="0.25">
      <c r="C86" s="280" t="str">
        <f>languages!$B$110</f>
        <v>Intermediate right</v>
      </c>
      <c r="D86" s="213">
        <f>IF($J$64&gt;0,ROUND(($D$64-80-($J$64-1)*13-IF(paneltypes!$C$10,160,80))/$J$64-10,0),0)</f>
        <v>0</v>
      </c>
      <c r="E86" s="214">
        <f>IF($J$62&gt;0,E84,0)</f>
        <v>0</v>
      </c>
      <c r="F86" s="1"/>
      <c r="G86" s="215">
        <f>$K$10*$J$27*$J$64</f>
        <v>0</v>
      </c>
      <c r="O86" s="212"/>
      <c r="P86" s="212"/>
      <c r="Q86" s="190"/>
      <c r="R86" s="190"/>
      <c r="S86" s="333"/>
      <c r="T86" s="331"/>
    </row>
    <row r="87" spans="2:20" ht="15" customHeight="1" x14ac:dyDescent="0.25">
      <c r="C87" s="281" t="str">
        <f>languages!$B$85</f>
        <v>Bottom</v>
      </c>
      <c r="D87" s="216">
        <f>ROUND(K$20-10,0)</f>
        <v>929</v>
      </c>
      <c r="E87" s="217">
        <f>K29-10-IF(paneltypes!C11,VLOOKUP(D14,paneltypes!A:J,10,0),VLOOKUP(D14,paneltypes!A:I,9,0))</f>
        <v>370</v>
      </c>
      <c r="F87" s="218"/>
      <c r="G87" s="219">
        <f>K10*K18*J29</f>
        <v>0</v>
      </c>
      <c r="O87" s="212" t="s">
        <v>74</v>
      </c>
      <c r="P87" s="212" t="s">
        <v>157</v>
      </c>
      <c r="Q87" s="190">
        <v>0.8</v>
      </c>
      <c r="R87" s="220" t="s">
        <v>161</v>
      </c>
      <c r="S87" s="333"/>
      <c r="T87" s="331"/>
    </row>
    <row r="88" spans="2:20" ht="15" customHeight="1" x14ac:dyDescent="0.25">
      <c r="O88" s="212" t="s">
        <v>71</v>
      </c>
      <c r="P88" s="212" t="s">
        <v>157</v>
      </c>
      <c r="Q88" s="190">
        <v>1</v>
      </c>
      <c r="R88" s="220" t="s">
        <v>162</v>
      </c>
      <c r="S88" s="333"/>
      <c r="T88" s="331"/>
    </row>
    <row r="89" spans="2:20" x14ac:dyDescent="0.25">
      <c r="C89" s="221" t="str">
        <f>languages!$B$86</f>
        <v>Profile</v>
      </c>
      <c r="D89" s="282" t="str">
        <f>languages!$B$87</f>
        <v>Type</v>
      </c>
      <c r="E89" s="282" t="str">
        <f>languages!$B$88</f>
        <v>Length (mm)</v>
      </c>
      <c r="F89" s="221"/>
      <c r="G89" s="282" t="str">
        <f>languages!$B$82</f>
        <v>Qty</v>
      </c>
      <c r="O89" s="212" t="s">
        <v>75</v>
      </c>
      <c r="P89" s="212" t="s">
        <v>157</v>
      </c>
      <c r="Q89" s="190">
        <v>0.8</v>
      </c>
      <c r="R89" s="220" t="s">
        <v>163</v>
      </c>
      <c r="S89" s="333"/>
      <c r="T89" s="331"/>
    </row>
    <row r="90" spans="2:20" ht="15.75" customHeight="1" x14ac:dyDescent="0.25">
      <c r="B90" s="337" t="str">
        <f>languages!$B$89</f>
        <v>Top Section</v>
      </c>
      <c r="C90" s="283" t="str">
        <f>languages!$B$92</f>
        <v>Upper</v>
      </c>
      <c r="D90" s="210" t="s">
        <v>45</v>
      </c>
      <c r="E90" s="210">
        <f>K$12+K$14</f>
        <v>3000</v>
      </c>
      <c r="F90" s="165"/>
      <c r="G90" s="211">
        <f>K10*J25</f>
        <v>0</v>
      </c>
      <c r="O90" s="212" t="s">
        <v>72</v>
      </c>
      <c r="P90" s="212" t="s">
        <v>157</v>
      </c>
      <c r="Q90" s="190">
        <v>1</v>
      </c>
      <c r="R90" s="220" t="s">
        <v>164</v>
      </c>
      <c r="S90" s="333"/>
      <c r="T90" s="331"/>
    </row>
    <row r="91" spans="2:20" ht="15.75" customHeight="1" x14ac:dyDescent="0.25">
      <c r="B91" s="338"/>
      <c r="C91" s="183" t="str">
        <f>languages!$B$94</f>
        <v>Side</v>
      </c>
      <c r="D91" s="214" t="str">
        <f>paneltypes!E10</f>
        <v>A1E</v>
      </c>
      <c r="E91" s="214">
        <f>K25-VLOOKUP(D14,paneltypes!A:G,7,0)</f>
        <v>380</v>
      </c>
      <c r="F91" s="1"/>
      <c r="G91" s="215">
        <f>2*K10*J25</f>
        <v>0</v>
      </c>
      <c r="O91" s="212"/>
      <c r="P91" s="212"/>
      <c r="Q91" s="212"/>
      <c r="R91" s="190"/>
      <c r="S91" s="333"/>
      <c r="T91" s="331"/>
    </row>
    <row r="92" spans="2:20" ht="15.75" customHeight="1" x14ac:dyDescent="0.25">
      <c r="B92" s="338"/>
      <c r="C92" s="183" t="str">
        <f>languages!$B$95</f>
        <v>Intermediate</v>
      </c>
      <c r="D92" s="214" t="s">
        <v>46</v>
      </c>
      <c r="E92" s="214">
        <f>K25-VLOOKUP(D14,paneltypes!A:G,7,0)</f>
        <v>380</v>
      </c>
      <c r="F92" s="1"/>
      <c r="G92" s="215">
        <f>K10*J25*(K18-1)</f>
        <v>0</v>
      </c>
      <c r="O92" s="334" t="s">
        <v>165</v>
      </c>
      <c r="P92" s="334"/>
      <c r="Q92" s="334"/>
      <c r="R92" s="334"/>
      <c r="S92" s="333"/>
      <c r="T92" s="331" t="s">
        <v>166</v>
      </c>
    </row>
    <row r="93" spans="2:20" ht="15.75" customHeight="1" x14ac:dyDescent="0.25">
      <c r="B93" s="339"/>
      <c r="C93" s="284" t="str">
        <f>languages!$B$96</f>
        <v>Lower</v>
      </c>
      <c r="D93" s="217" t="str">
        <f>INDEX(paneltypes!C2:C6,D14)</f>
        <v>A3B</v>
      </c>
      <c r="E93" s="217">
        <f>K$12+K$14</f>
        <v>3000</v>
      </c>
      <c r="F93" s="218"/>
      <c r="G93" s="219">
        <f>K10*J25</f>
        <v>0</v>
      </c>
      <c r="O93" s="208" t="s">
        <v>152</v>
      </c>
      <c r="P93" s="208" t="s">
        <v>153</v>
      </c>
      <c r="Q93" s="208" t="s">
        <v>154</v>
      </c>
      <c r="R93" s="208" t="s">
        <v>155</v>
      </c>
      <c r="S93" s="333"/>
      <c r="T93" s="331"/>
    </row>
    <row r="94" spans="2:20" ht="15.75" customHeight="1" x14ac:dyDescent="0.25">
      <c r="B94" s="337" t="str">
        <f>languages!$B$90</f>
        <v>Intermediate Section</v>
      </c>
      <c r="C94" s="283" t="str">
        <f>languages!$B$92</f>
        <v>Upper</v>
      </c>
      <c r="D94" s="210" t="str">
        <f>paneltypes!$E$12</f>
        <v>A4T</v>
      </c>
      <c r="E94" s="210">
        <f>IF($D$58&gt;1,$J$60,$K$12+$K$14)</f>
        <v>3000</v>
      </c>
      <c r="F94" s="165"/>
      <c r="G94" s="211">
        <f>$K$10*$J$27</f>
        <v>0</v>
      </c>
      <c r="O94" s="212" t="s">
        <v>167</v>
      </c>
      <c r="P94" s="212" t="s">
        <v>157</v>
      </c>
      <c r="Q94" s="190">
        <v>1.2</v>
      </c>
      <c r="R94" s="190" t="s">
        <v>168</v>
      </c>
      <c r="S94" s="333"/>
      <c r="T94" s="331"/>
    </row>
    <row r="95" spans="2:20" ht="15.75" hidden="1" customHeight="1" x14ac:dyDescent="0.25">
      <c r="B95" s="338"/>
      <c r="C95" s="183" t="str">
        <f>languages!$B$111</f>
        <v>Upper left</v>
      </c>
      <c r="D95" s="214" t="str">
        <f>paneltypes!$E$12</f>
        <v>A4T</v>
      </c>
      <c r="E95" s="214">
        <f>IF($D$58&gt;1,$D$62,0)</f>
        <v>0</v>
      </c>
      <c r="F95" s="1"/>
      <c r="G95" s="215">
        <f>IF($D$58&gt;1,$K$10*$J$27,0)</f>
        <v>0</v>
      </c>
      <c r="O95" s="212"/>
      <c r="P95" s="212"/>
      <c r="Q95" s="190"/>
      <c r="R95" s="190"/>
      <c r="S95" s="333"/>
      <c r="T95" s="331"/>
    </row>
    <row r="96" spans="2:20" ht="15.75" hidden="1" customHeight="1" x14ac:dyDescent="0.25">
      <c r="B96" s="338"/>
      <c r="C96" s="183" t="str">
        <f>languages!$B$112</f>
        <v>Upper right</v>
      </c>
      <c r="D96" s="214" t="str">
        <f>paneltypes!$E$12</f>
        <v>A4T</v>
      </c>
      <c r="E96" s="214">
        <f>IF($D$58&gt;1,$D$64,0)</f>
        <v>0</v>
      </c>
      <c r="F96" s="1"/>
      <c r="G96" s="215">
        <f>IF($D$58&gt;1,$K$10*$J$27,0)</f>
        <v>0</v>
      </c>
      <c r="O96" s="212"/>
      <c r="P96" s="212"/>
      <c r="Q96" s="190"/>
      <c r="R96" s="190"/>
      <c r="S96" s="333"/>
      <c r="T96" s="331"/>
    </row>
    <row r="97" spans="1:20" ht="15.75" customHeight="1" x14ac:dyDescent="0.25">
      <c r="B97" s="338"/>
      <c r="C97" s="183" t="str">
        <f>languages!$B$93</f>
        <v>Reinforcement</v>
      </c>
      <c r="D97" s="214" t="str">
        <f>paneltypes!E13</f>
        <v xml:space="preserve"> - </v>
      </c>
      <c r="E97" s="214" t="str">
        <f>IF(paneltypes!$C$13,$K$12+$K$14-IF(paneltypes!$C$10,320,160)," - ")</f>
        <v xml:space="preserve"> - </v>
      </c>
      <c r="F97" s="1"/>
      <c r="G97" s="215" t="str">
        <f>IF(paneltypes!C13,K10*J27," - ")</f>
        <v xml:space="preserve"> - </v>
      </c>
      <c r="O97" s="212" t="s">
        <v>169</v>
      </c>
      <c r="P97" s="212" t="s">
        <v>157</v>
      </c>
      <c r="Q97" s="190">
        <v>1.3</v>
      </c>
      <c r="R97" s="190" t="s">
        <v>170</v>
      </c>
      <c r="S97" s="333"/>
      <c r="T97" s="331"/>
    </row>
    <row r="98" spans="1:20" ht="15.75" customHeight="1" x14ac:dyDescent="0.25">
      <c r="B98" s="338"/>
      <c r="C98" s="183" t="str">
        <f>languages!$B$94</f>
        <v>Side</v>
      </c>
      <c r="D98" s="214" t="str">
        <f>paneltypes!$E$10</f>
        <v>A1E</v>
      </c>
      <c r="E98" s="214">
        <f>$K$27-VLOOKUP($D$14,paneltypes!$A:$H,8,0)</f>
        <v>420</v>
      </c>
      <c r="F98" s="1"/>
      <c r="G98" s="215">
        <f>2*K10*J27</f>
        <v>0</v>
      </c>
      <c r="S98" s="333"/>
      <c r="T98" s="331"/>
    </row>
    <row r="99" spans="1:20" ht="15.75" hidden="1" customHeight="1" x14ac:dyDescent="0.25">
      <c r="B99" s="338"/>
      <c r="C99" s="183" t="str">
        <f>languages!$B$115</f>
        <v>Passdoor side</v>
      </c>
      <c r="D99" s="214" t="s">
        <v>45</v>
      </c>
      <c r="E99" s="214">
        <f>$K$27-VLOOKUP($D$14,paneltypes!$A:$H,8,0)</f>
        <v>420</v>
      </c>
      <c r="F99" s="1"/>
      <c r="G99" s="215">
        <f>IF($D$58&gt;1,$K$10*$J$27*4,0)</f>
        <v>0</v>
      </c>
      <c r="S99" s="333"/>
      <c r="T99" s="331"/>
    </row>
    <row r="100" spans="1:20" ht="15.75" customHeight="1" x14ac:dyDescent="0.25">
      <c r="B100" s="338"/>
      <c r="C100" s="183" t="str">
        <f>languages!$B$95</f>
        <v>Intermediate</v>
      </c>
      <c r="D100" s="214" t="s">
        <v>46</v>
      </c>
      <c r="E100" s="214">
        <f>$K$27-VLOOKUP($D$14,paneltypes!$A:$H,8,0)</f>
        <v>420</v>
      </c>
      <c r="F100" s="1"/>
      <c r="G100" s="215">
        <f>$K$10*$J$27*($K$18-1-IF($D$58&gt;1,2,0))</f>
        <v>0</v>
      </c>
      <c r="O100" s="251" t="s">
        <v>171</v>
      </c>
      <c r="P100" s="251"/>
      <c r="Q100" s="251"/>
      <c r="R100" s="251"/>
      <c r="S100" s="333"/>
      <c r="T100" s="331"/>
    </row>
    <row r="101" spans="1:20" ht="15.75" customHeight="1" x14ac:dyDescent="0.25">
      <c r="B101" s="338"/>
      <c r="C101" s="183" t="str">
        <f>languages!$B$96</f>
        <v>Lower</v>
      </c>
      <c r="D101" s="214" t="str">
        <f>INDEX(paneltypes!$C$2:$C$6,$D$14)</f>
        <v>A3B</v>
      </c>
      <c r="E101" s="214">
        <f>IF($D$58&gt;1,$J$60,$K$12+$K$14)</f>
        <v>3000</v>
      </c>
      <c r="F101" s="1"/>
      <c r="G101" s="215">
        <f>$K$10*$J$27</f>
        <v>0</v>
      </c>
      <c r="O101" s="208" t="s">
        <v>152</v>
      </c>
      <c r="P101" s="208" t="s">
        <v>153</v>
      </c>
      <c r="Q101" s="208" t="s">
        <v>154</v>
      </c>
      <c r="R101" s="208" t="s">
        <v>155</v>
      </c>
      <c r="S101" s="333"/>
      <c r="T101" s="331"/>
    </row>
    <row r="102" spans="1:20" ht="15.75" hidden="1" customHeight="1" x14ac:dyDescent="0.25">
      <c r="B102" s="338"/>
      <c r="C102" s="183" t="str">
        <f>languages!$B$113</f>
        <v>Lower left</v>
      </c>
      <c r="D102" s="214" t="str">
        <f>INDEX(paneltypes!$C$2:$C$6,$D$14)</f>
        <v>A3B</v>
      </c>
      <c r="E102" s="214">
        <f>IF($D$58&gt;1,$D$62,0)</f>
        <v>0</v>
      </c>
      <c r="F102" s="1"/>
      <c r="G102" s="215">
        <f>IF($D$58&gt;1,$K$10*$J$27,0)</f>
        <v>0</v>
      </c>
      <c r="O102" s="208"/>
      <c r="P102" s="208"/>
      <c r="Q102" s="208"/>
      <c r="R102" s="208"/>
      <c r="S102" s="190"/>
      <c r="T102" s="305"/>
    </row>
    <row r="103" spans="1:20" ht="15.75" hidden="1" customHeight="1" x14ac:dyDescent="0.25">
      <c r="B103" s="339"/>
      <c r="C103" s="183" t="str">
        <f>languages!$B$114</f>
        <v>Lower right</v>
      </c>
      <c r="D103" s="214" t="str">
        <f>INDEX(paneltypes!$C$2:$C$6,$D$14)</f>
        <v>A3B</v>
      </c>
      <c r="E103" s="214">
        <f>IF($D$58&gt;1,$D$64,0)</f>
        <v>0</v>
      </c>
      <c r="F103" s="1"/>
      <c r="G103" s="215">
        <f>IF($D$58&gt;1,$K$10*$J$27,0)</f>
        <v>0</v>
      </c>
      <c r="O103" s="208"/>
      <c r="P103" s="208"/>
      <c r="Q103" s="208"/>
      <c r="R103" s="208"/>
      <c r="S103" s="190"/>
      <c r="T103" s="305"/>
    </row>
    <row r="104" spans="1:20" ht="15.75" customHeight="1" x14ac:dyDescent="0.25">
      <c r="B104" s="337" t="str">
        <f>languages!$B$91</f>
        <v>Bottom Section</v>
      </c>
      <c r="C104" s="283" t="str">
        <f>languages!$B$92</f>
        <v>Upper</v>
      </c>
      <c r="D104" s="210" t="str">
        <f>paneltypes!E12</f>
        <v>A4T</v>
      </c>
      <c r="E104" s="210">
        <f>K$12+K$14</f>
        <v>3000</v>
      </c>
      <c r="F104" s="165"/>
      <c r="G104" s="211">
        <f>K10*J29</f>
        <v>0</v>
      </c>
      <c r="O104" s="212" t="s">
        <v>64</v>
      </c>
      <c r="P104" s="190" t="s">
        <v>81</v>
      </c>
      <c r="Q104" s="190">
        <v>7.0000000000000007E-2</v>
      </c>
      <c r="R104" s="190" t="s">
        <v>173</v>
      </c>
      <c r="S104" s="333"/>
      <c r="T104" s="331" t="s">
        <v>172</v>
      </c>
    </row>
    <row r="105" spans="1:20" ht="15.75" customHeight="1" x14ac:dyDescent="0.25">
      <c r="B105" s="338"/>
      <c r="C105" s="183" t="str">
        <f>languages!$B$93</f>
        <v>Reinforcement</v>
      </c>
      <c r="D105" s="214" t="str">
        <f>paneltypes!E13</f>
        <v xml:space="preserve"> - </v>
      </c>
      <c r="E105" s="214" t="str">
        <f>IF(paneltypes!C13,K12+K14-IF(paneltypes!C10,320,160)," - ")</f>
        <v xml:space="preserve"> - </v>
      </c>
      <c r="F105" s="1"/>
      <c r="G105" s="215" t="str">
        <f>IF(paneltypes!C13,K10*J29," - ")</f>
        <v xml:space="preserve"> - </v>
      </c>
      <c r="O105" s="212" t="s">
        <v>90</v>
      </c>
      <c r="P105" s="190" t="s">
        <v>81</v>
      </c>
      <c r="Q105" s="190">
        <v>0.08</v>
      </c>
      <c r="R105" s="190" t="s">
        <v>174</v>
      </c>
      <c r="S105" s="333"/>
      <c r="T105" s="331"/>
    </row>
    <row r="106" spans="1:20" ht="15.75" customHeight="1" x14ac:dyDescent="0.25">
      <c r="B106" s="338"/>
      <c r="C106" s="183" t="str">
        <f>languages!$B$94</f>
        <v>Side</v>
      </c>
      <c r="D106" s="214" t="str">
        <f>paneltypes!E10</f>
        <v>A1E</v>
      </c>
      <c r="E106" s="214">
        <f>K29-IF(paneltypes!$C$11,VLOOKUP(D14,paneltypes!A:J,10,0),VLOOKUP(D14,paneltypes!A:I,9,0))</f>
        <v>380</v>
      </c>
      <c r="F106" s="1"/>
      <c r="G106" s="215">
        <f>2*K10*J29</f>
        <v>0</v>
      </c>
      <c r="O106" s="212" t="s">
        <v>67</v>
      </c>
      <c r="P106" s="190" t="s">
        <v>81</v>
      </c>
      <c r="Q106" s="190">
        <v>0.02</v>
      </c>
      <c r="R106" s="190" t="s">
        <v>175</v>
      </c>
      <c r="S106" s="333"/>
      <c r="T106" s="331"/>
    </row>
    <row r="107" spans="1:20" ht="15.75" customHeight="1" x14ac:dyDescent="0.25">
      <c r="B107" s="338"/>
      <c r="C107" s="183" t="str">
        <f>languages!$B$95</f>
        <v>Intermediate</v>
      </c>
      <c r="D107" s="214" t="s">
        <v>46</v>
      </c>
      <c r="E107" s="214">
        <f>K29-IF(paneltypes!$C$11,VLOOKUP(D14,paneltypes!A:J,10,0),VLOOKUP(D14,paneltypes!A:I,9,0))</f>
        <v>380</v>
      </c>
      <c r="F107" s="1"/>
      <c r="G107" s="215">
        <f>K10*J29*(K18-1)</f>
        <v>0</v>
      </c>
      <c r="O107" s="212"/>
      <c r="P107" s="212"/>
      <c r="Q107" s="212"/>
      <c r="R107" s="212"/>
      <c r="S107" s="333"/>
      <c r="T107" s="331"/>
    </row>
    <row r="108" spans="1:20" ht="15.75" customHeight="1" x14ac:dyDescent="0.25">
      <c r="B108" s="339"/>
      <c r="C108" s="284" t="str">
        <f>languages!$B$96</f>
        <v>Lower</v>
      </c>
      <c r="D108" s="217" t="str">
        <f>paneltypes!E11</f>
        <v>A1E</v>
      </c>
      <c r="E108" s="217">
        <f>K$12+K$14</f>
        <v>3000</v>
      </c>
      <c r="F108" s="218"/>
      <c r="G108" s="219">
        <f>K10*J29</f>
        <v>0</v>
      </c>
      <c r="L108" s="157"/>
      <c r="O108" s="251" t="s">
        <v>176</v>
      </c>
      <c r="P108" s="251"/>
      <c r="Q108" s="251"/>
      <c r="R108" s="251"/>
      <c r="S108" s="333"/>
      <c r="T108" s="331"/>
    </row>
    <row r="109" spans="1:20" ht="15.75" thickBot="1" x14ac:dyDescent="0.3">
      <c r="O109" s="208" t="s">
        <v>152</v>
      </c>
      <c r="P109" s="208" t="s">
        <v>153</v>
      </c>
      <c r="Q109" s="208" t="s">
        <v>154</v>
      </c>
      <c r="R109" s="208" t="s">
        <v>155</v>
      </c>
      <c r="S109" s="333"/>
      <c r="T109" s="331"/>
    </row>
    <row r="110" spans="1:20" ht="15.75" thickTop="1" x14ac:dyDescent="0.25">
      <c r="A110" s="222"/>
      <c r="B110" s="222"/>
      <c r="C110" s="222"/>
      <c r="D110" s="222"/>
      <c r="E110" s="222"/>
      <c r="F110" s="222"/>
      <c r="G110" s="222"/>
      <c r="H110" s="222"/>
      <c r="I110" s="222"/>
      <c r="J110" s="222"/>
      <c r="K110" s="222"/>
      <c r="L110" s="222"/>
      <c r="M110" s="223"/>
      <c r="O110" s="212" t="s">
        <v>178</v>
      </c>
      <c r="P110" s="212" t="s">
        <v>157</v>
      </c>
      <c r="Q110" s="190">
        <v>6.9</v>
      </c>
      <c r="R110" s="190" t="s">
        <v>179</v>
      </c>
      <c r="S110" s="333"/>
      <c r="T110" s="331"/>
    </row>
    <row r="111" spans="1:20" x14ac:dyDescent="0.25">
      <c r="O111" s="212" t="s">
        <v>180</v>
      </c>
      <c r="P111" s="212" t="s">
        <v>157</v>
      </c>
      <c r="Q111" s="190">
        <v>8.6999999999999993</v>
      </c>
      <c r="R111" s="220" t="s">
        <v>181</v>
      </c>
      <c r="S111" s="333"/>
      <c r="T111" s="331" t="s">
        <v>177</v>
      </c>
    </row>
    <row r="112" spans="1:20" x14ac:dyDescent="0.25">
      <c r="O112" s="212" t="s">
        <v>182</v>
      </c>
      <c r="P112" s="212" t="s">
        <v>157</v>
      </c>
      <c r="Q112" s="190">
        <v>7.4</v>
      </c>
      <c r="R112" s="190" t="s">
        <v>183</v>
      </c>
      <c r="S112" s="333"/>
      <c r="T112" s="331"/>
    </row>
    <row r="113" spans="15:20" x14ac:dyDescent="0.25">
      <c r="O113" s="212"/>
      <c r="P113" s="212"/>
      <c r="Q113" s="212"/>
      <c r="R113" s="212"/>
      <c r="S113" s="333"/>
      <c r="T113" s="331"/>
    </row>
    <row r="114" spans="15:20" ht="18" x14ac:dyDescent="0.25">
      <c r="O114" s="251" t="s">
        <v>184</v>
      </c>
      <c r="P114" s="251"/>
      <c r="Q114" s="251"/>
      <c r="R114" s="251"/>
      <c r="S114" s="333"/>
      <c r="T114" s="331"/>
    </row>
    <row r="115" spans="15:20" x14ac:dyDescent="0.25">
      <c r="O115" s="208" t="s">
        <v>152</v>
      </c>
      <c r="P115" s="208" t="s">
        <v>153</v>
      </c>
      <c r="Q115" s="208" t="s">
        <v>154</v>
      </c>
      <c r="R115" s="208" t="s">
        <v>155</v>
      </c>
      <c r="S115" s="333"/>
      <c r="T115" s="331"/>
    </row>
    <row r="116" spans="15:20" x14ac:dyDescent="0.25">
      <c r="O116" s="212" t="s">
        <v>186</v>
      </c>
      <c r="P116" s="212" t="s">
        <v>157</v>
      </c>
      <c r="Q116" s="190">
        <v>5.5</v>
      </c>
      <c r="R116" s="190" t="s">
        <v>187</v>
      </c>
      <c r="S116" s="333"/>
      <c r="T116" s="331"/>
    </row>
    <row r="117" spans="15:20" x14ac:dyDescent="0.25">
      <c r="O117" s="212" t="s">
        <v>77</v>
      </c>
      <c r="P117" s="212" t="s">
        <v>157</v>
      </c>
      <c r="Q117" s="190">
        <v>0.4</v>
      </c>
      <c r="R117" s="190" t="s">
        <v>188</v>
      </c>
      <c r="S117" s="333"/>
      <c r="T117" s="331" t="s">
        <v>185</v>
      </c>
    </row>
    <row r="118" spans="15:20" x14ac:dyDescent="0.25">
      <c r="O118" s="212" t="s">
        <v>78</v>
      </c>
      <c r="P118" s="212" t="s">
        <v>157</v>
      </c>
      <c r="Q118" s="190">
        <v>0.4</v>
      </c>
      <c r="R118" s="190" t="s">
        <v>189</v>
      </c>
      <c r="S118" s="333"/>
      <c r="T118" s="331"/>
    </row>
    <row r="119" spans="15:20" x14ac:dyDescent="0.25">
      <c r="O119" s="212"/>
      <c r="P119" s="212"/>
      <c r="Q119" s="212"/>
      <c r="R119" s="212"/>
      <c r="S119" s="333"/>
      <c r="T119" s="331"/>
    </row>
    <row r="120" spans="15:20" ht="18" x14ac:dyDescent="0.25">
      <c r="O120" s="251" t="s">
        <v>190</v>
      </c>
      <c r="P120" s="251"/>
      <c r="Q120" s="251"/>
      <c r="R120" s="251"/>
      <c r="S120" s="333"/>
      <c r="T120" s="331"/>
    </row>
    <row r="121" spans="15:20" x14ac:dyDescent="0.25">
      <c r="O121" s="208" t="s">
        <v>152</v>
      </c>
      <c r="P121" s="208" t="s">
        <v>153</v>
      </c>
      <c r="Q121" s="208" t="s">
        <v>154</v>
      </c>
      <c r="R121" s="208" t="s">
        <v>155</v>
      </c>
      <c r="S121" s="333"/>
      <c r="T121" s="331"/>
    </row>
    <row r="122" spans="15:20" x14ac:dyDescent="0.25">
      <c r="O122" s="212" t="s">
        <v>192</v>
      </c>
      <c r="P122" s="212" t="s">
        <v>157</v>
      </c>
      <c r="Q122" s="190">
        <v>7.2</v>
      </c>
      <c r="R122" s="190" t="s">
        <v>193</v>
      </c>
      <c r="S122" s="333"/>
      <c r="T122" s="331"/>
    </row>
    <row r="123" spans="15:20" x14ac:dyDescent="0.25">
      <c r="O123" s="212"/>
      <c r="P123" s="212"/>
      <c r="Q123" s="212"/>
      <c r="R123" s="212"/>
      <c r="S123" s="333"/>
      <c r="T123" s="331" t="s">
        <v>191</v>
      </c>
    </row>
    <row r="124" spans="15:20" x14ac:dyDescent="0.25">
      <c r="O124" s="212"/>
      <c r="P124" s="212"/>
      <c r="Q124" s="212"/>
      <c r="R124" s="212"/>
      <c r="S124" s="333"/>
      <c r="T124" s="331"/>
    </row>
    <row r="125" spans="15:20" x14ac:dyDescent="0.25">
      <c r="O125" s="212"/>
      <c r="P125" s="212"/>
      <c r="Q125" s="212"/>
      <c r="R125" s="212"/>
      <c r="S125" s="333"/>
      <c r="T125" s="331"/>
    </row>
    <row r="126" spans="15:20" x14ac:dyDescent="0.25">
      <c r="O126" s="212"/>
      <c r="P126" s="212"/>
      <c r="Q126" s="212"/>
      <c r="R126" s="212"/>
      <c r="S126" s="333"/>
      <c r="T126" s="331"/>
    </row>
    <row r="127" spans="15:20" ht="18" x14ac:dyDescent="0.25">
      <c r="O127" s="251" t="s">
        <v>195</v>
      </c>
      <c r="P127" s="251"/>
      <c r="Q127" s="251"/>
      <c r="R127" s="251"/>
      <c r="S127" s="333"/>
      <c r="T127" s="331"/>
    </row>
    <row r="128" spans="15:20" x14ac:dyDescent="0.25">
      <c r="O128" s="208" t="s">
        <v>152</v>
      </c>
      <c r="P128" s="208" t="s">
        <v>153</v>
      </c>
      <c r="Q128" s="208" t="s">
        <v>154</v>
      </c>
      <c r="R128" s="208" t="s">
        <v>155</v>
      </c>
      <c r="S128" s="333"/>
      <c r="T128" s="331"/>
    </row>
    <row r="129" spans="15:20" ht="30" x14ac:dyDescent="0.25">
      <c r="O129" s="212" t="s">
        <v>196</v>
      </c>
      <c r="P129" s="212" t="s">
        <v>197</v>
      </c>
      <c r="Q129" s="212">
        <v>5.38</v>
      </c>
      <c r="R129" s="224" t="s">
        <v>198</v>
      </c>
      <c r="S129" s="190"/>
      <c r="T129" s="332" t="s">
        <v>194</v>
      </c>
    </row>
    <row r="130" spans="15:20" x14ac:dyDescent="0.25">
      <c r="O130" s="212"/>
      <c r="P130" s="212"/>
      <c r="Q130" s="212"/>
      <c r="R130" s="212"/>
      <c r="S130" s="190"/>
      <c r="T130" s="332"/>
    </row>
    <row r="131" spans="15:20" x14ac:dyDescent="0.25">
      <c r="O131" s="212"/>
      <c r="P131" s="212"/>
      <c r="Q131" s="212"/>
      <c r="R131" s="212"/>
      <c r="S131" s="190"/>
      <c r="T131" s="332"/>
    </row>
    <row r="132" spans="15:20" x14ac:dyDescent="0.25">
      <c r="O132" s="212"/>
      <c r="P132" s="212"/>
      <c r="Q132" s="212"/>
      <c r="R132" s="212"/>
      <c r="S132" s="190"/>
      <c r="T132" s="332"/>
    </row>
    <row r="133" spans="15:20" ht="30" x14ac:dyDescent="0.25">
      <c r="O133" s="212" t="s">
        <v>199</v>
      </c>
      <c r="P133" s="212" t="s">
        <v>197</v>
      </c>
      <c r="Q133" s="212">
        <v>5.38</v>
      </c>
      <c r="R133" s="224" t="s">
        <v>200</v>
      </c>
      <c r="S133" s="190"/>
      <c r="T133" s="332"/>
    </row>
    <row r="134" spans="15:20" x14ac:dyDescent="0.25">
      <c r="O134" s="212"/>
      <c r="P134" s="212"/>
      <c r="Q134" s="212"/>
      <c r="R134" s="212"/>
      <c r="S134" s="190"/>
      <c r="T134" s="332"/>
    </row>
    <row r="135" spans="15:20" x14ac:dyDescent="0.25">
      <c r="O135" s="212"/>
      <c r="P135" s="212"/>
      <c r="Q135" s="212"/>
      <c r="R135" s="212"/>
      <c r="S135" s="190"/>
      <c r="T135" s="332"/>
    </row>
    <row r="136" spans="15:20" x14ac:dyDescent="0.25">
      <c r="O136" s="212"/>
      <c r="P136" s="212"/>
      <c r="Q136" s="212"/>
      <c r="R136" s="212"/>
      <c r="S136" s="190"/>
      <c r="T136" s="332"/>
    </row>
    <row r="137" spans="15:20" x14ac:dyDescent="0.25">
      <c r="O137" s="212"/>
      <c r="P137" s="212"/>
      <c r="Q137" s="212"/>
      <c r="R137" s="212"/>
      <c r="S137" s="190"/>
      <c r="T137" s="332"/>
    </row>
    <row r="138" spans="15:20" x14ac:dyDescent="0.25">
      <c r="O138" s="212"/>
      <c r="P138" s="212"/>
      <c r="Q138" s="212"/>
      <c r="R138" s="212"/>
      <c r="S138" s="190"/>
      <c r="T138" s="332"/>
    </row>
    <row r="139" spans="15:20" x14ac:dyDescent="0.25">
      <c r="O139" s="212"/>
      <c r="P139" s="212"/>
      <c r="Q139" s="212"/>
      <c r="R139" s="212"/>
      <c r="S139" s="190"/>
      <c r="T139" s="332"/>
    </row>
    <row r="140" spans="15:20" ht="30" x14ac:dyDescent="0.25">
      <c r="O140" s="212" t="s">
        <v>201</v>
      </c>
      <c r="P140" s="212" t="s">
        <v>197</v>
      </c>
      <c r="Q140" s="212" t="s">
        <v>202</v>
      </c>
      <c r="R140" s="224" t="s">
        <v>203</v>
      </c>
      <c r="S140" s="190"/>
      <c r="T140" s="332"/>
    </row>
    <row r="141" spans="15:20" x14ac:dyDescent="0.25">
      <c r="O141" s="212"/>
      <c r="P141" s="212"/>
      <c r="Q141" s="212"/>
      <c r="R141" s="212"/>
      <c r="S141" s="190"/>
      <c r="T141" s="332"/>
    </row>
    <row r="142" spans="15:20" x14ac:dyDescent="0.25">
      <c r="O142" s="212"/>
      <c r="P142" s="212"/>
      <c r="Q142" s="212"/>
      <c r="R142" s="212"/>
      <c r="S142" s="190"/>
      <c r="T142" s="332"/>
    </row>
    <row r="143" spans="15:20" x14ac:dyDescent="0.25">
      <c r="O143" s="212"/>
      <c r="P143" s="212"/>
      <c r="Q143" s="212"/>
      <c r="R143" s="212"/>
      <c r="S143" s="190"/>
      <c r="T143" s="332"/>
    </row>
    <row r="144" spans="15:20" x14ac:dyDescent="0.25">
      <c r="O144" s="212"/>
      <c r="P144" s="212"/>
      <c r="Q144" s="212"/>
      <c r="R144" s="212"/>
      <c r="S144" s="190"/>
      <c r="T144" s="332"/>
    </row>
    <row r="145" spans="15:20" x14ac:dyDescent="0.25">
      <c r="O145" s="212"/>
      <c r="P145" s="212"/>
      <c r="Q145" s="212"/>
      <c r="R145" s="212"/>
      <c r="S145" s="190"/>
      <c r="T145" s="332"/>
    </row>
    <row r="146" spans="15:20" ht="30" x14ac:dyDescent="0.25">
      <c r="O146" s="212" t="s">
        <v>204</v>
      </c>
      <c r="P146" s="212" t="s">
        <v>197</v>
      </c>
      <c r="Q146" s="212">
        <v>5.74</v>
      </c>
      <c r="R146" s="224" t="s">
        <v>205</v>
      </c>
      <c r="S146" s="190"/>
      <c r="T146" s="332"/>
    </row>
    <row r="147" spans="15:20" x14ac:dyDescent="0.25">
      <c r="O147" s="212"/>
      <c r="P147" s="212"/>
      <c r="Q147" s="212"/>
      <c r="R147" s="212"/>
      <c r="S147" s="190"/>
      <c r="T147" s="332"/>
    </row>
    <row r="148" spans="15:20" x14ac:dyDescent="0.25">
      <c r="O148" s="212"/>
      <c r="P148" s="212"/>
      <c r="Q148" s="212"/>
      <c r="R148" s="212"/>
      <c r="S148" s="190"/>
      <c r="T148" s="332"/>
    </row>
    <row r="149" spans="15:20" x14ac:dyDescent="0.25">
      <c r="O149" s="212"/>
      <c r="P149" s="212"/>
      <c r="Q149" s="212"/>
      <c r="R149" s="212"/>
      <c r="S149" s="190"/>
      <c r="T149" s="332"/>
    </row>
    <row r="150" spans="15:20" x14ac:dyDescent="0.25">
      <c r="O150" s="212"/>
      <c r="P150" s="212"/>
      <c r="Q150" s="212"/>
      <c r="R150" s="212"/>
      <c r="S150" s="190"/>
      <c r="T150" s="332"/>
    </row>
    <row r="151" spans="15:20" ht="18" x14ac:dyDescent="0.25">
      <c r="O151" s="251" t="s">
        <v>206</v>
      </c>
      <c r="P151" s="251"/>
      <c r="Q151" s="251"/>
      <c r="R151" s="251"/>
      <c r="S151" s="190"/>
      <c r="T151" s="332"/>
    </row>
    <row r="152" spans="15:20" x14ac:dyDescent="0.25">
      <c r="O152" s="208" t="s">
        <v>152</v>
      </c>
      <c r="P152" s="208" t="s">
        <v>153</v>
      </c>
      <c r="Q152" s="208" t="s">
        <v>154</v>
      </c>
      <c r="R152" s="208" t="s">
        <v>155</v>
      </c>
      <c r="S152" s="190"/>
      <c r="T152" s="332"/>
    </row>
    <row r="153" spans="15:20" x14ac:dyDescent="0.25">
      <c r="O153" s="227"/>
      <c r="P153" s="227"/>
      <c r="Q153" s="227"/>
      <c r="R153" s="227"/>
      <c r="S153" s="190"/>
      <c r="T153" s="332"/>
    </row>
    <row r="154" spans="15:20" ht="30" x14ac:dyDescent="0.25">
      <c r="O154" s="212" t="s">
        <v>208</v>
      </c>
      <c r="P154" s="212" t="s">
        <v>197</v>
      </c>
      <c r="Q154" s="212">
        <v>4.63</v>
      </c>
      <c r="R154" s="224" t="s">
        <v>198</v>
      </c>
      <c r="S154" s="190"/>
      <c r="T154" s="225"/>
    </row>
    <row r="155" spans="15:20" x14ac:dyDescent="0.25">
      <c r="O155" s="212"/>
      <c r="P155" s="212"/>
      <c r="Q155" s="212"/>
      <c r="R155" s="212"/>
      <c r="S155" s="190"/>
      <c r="T155" s="226"/>
    </row>
    <row r="156" spans="15:20" x14ac:dyDescent="0.25">
      <c r="O156" s="212"/>
      <c r="P156" s="212"/>
      <c r="Q156" s="212"/>
      <c r="R156" s="212"/>
      <c r="S156" s="190"/>
      <c r="T156" s="332" t="s">
        <v>207</v>
      </c>
    </row>
    <row r="157" spans="15:20" x14ac:dyDescent="0.25">
      <c r="O157" s="212"/>
      <c r="P157" s="212"/>
      <c r="Q157" s="212"/>
      <c r="R157" s="212"/>
      <c r="S157" s="190"/>
      <c r="T157" s="332"/>
    </row>
    <row r="158" spans="15:20" x14ac:dyDescent="0.25">
      <c r="O158" s="212"/>
      <c r="P158" s="212"/>
      <c r="Q158" s="212"/>
      <c r="R158" s="212"/>
      <c r="S158" s="190"/>
      <c r="T158" s="332"/>
    </row>
    <row r="159" spans="15:20" x14ac:dyDescent="0.25">
      <c r="O159" s="212"/>
      <c r="P159" s="212"/>
      <c r="Q159" s="212"/>
      <c r="R159" s="212"/>
      <c r="S159" s="190"/>
      <c r="T159" s="332"/>
    </row>
    <row r="160" spans="15:20" x14ac:dyDescent="0.25">
      <c r="O160" s="212"/>
      <c r="P160" s="212"/>
      <c r="Q160" s="212"/>
      <c r="R160" s="212"/>
      <c r="S160" s="190"/>
      <c r="T160" s="332"/>
    </row>
    <row r="161" spans="15:20" ht="30" x14ac:dyDescent="0.25">
      <c r="O161" s="212" t="s">
        <v>209</v>
      </c>
      <c r="P161" s="212" t="s">
        <v>197</v>
      </c>
      <c r="Q161" s="212">
        <v>4.7</v>
      </c>
      <c r="R161" s="224" t="s">
        <v>210</v>
      </c>
      <c r="S161" s="190"/>
      <c r="T161" s="332"/>
    </row>
    <row r="162" spans="15:20" x14ac:dyDescent="0.25">
      <c r="O162" s="212"/>
      <c r="P162" s="212"/>
      <c r="Q162" s="212"/>
      <c r="R162" s="212"/>
      <c r="S162" s="190"/>
      <c r="T162" s="332"/>
    </row>
    <row r="163" spans="15:20" x14ac:dyDescent="0.25">
      <c r="O163" s="212"/>
      <c r="P163" s="212"/>
      <c r="Q163" s="212"/>
      <c r="R163" s="212"/>
      <c r="S163" s="190"/>
      <c r="T163" s="332"/>
    </row>
    <row r="164" spans="15:20" x14ac:dyDescent="0.25">
      <c r="O164" s="212"/>
      <c r="P164" s="212"/>
      <c r="Q164" s="212"/>
      <c r="R164" s="212"/>
      <c r="S164" s="190"/>
      <c r="T164" s="332"/>
    </row>
    <row r="165" spans="15:20" x14ac:dyDescent="0.25">
      <c r="O165" s="212"/>
      <c r="P165" s="212"/>
      <c r="Q165" s="212"/>
      <c r="R165" s="212"/>
      <c r="S165" s="190"/>
      <c r="T165" s="332"/>
    </row>
    <row r="166" spans="15:20" x14ac:dyDescent="0.25">
      <c r="O166" s="212"/>
      <c r="P166" s="212"/>
      <c r="Q166" s="212"/>
      <c r="R166" s="212"/>
      <c r="S166" s="190"/>
      <c r="T166" s="332"/>
    </row>
    <row r="167" spans="15:20" ht="30" x14ac:dyDescent="0.25">
      <c r="O167" s="212" t="s">
        <v>211</v>
      </c>
      <c r="P167" s="212" t="s">
        <v>197</v>
      </c>
      <c r="Q167" s="212">
        <v>4.88</v>
      </c>
      <c r="R167" s="224" t="s">
        <v>203</v>
      </c>
      <c r="S167" s="190"/>
      <c r="T167" s="332"/>
    </row>
    <row r="168" spans="15:20" x14ac:dyDescent="0.25">
      <c r="O168" s="212"/>
      <c r="P168" s="212"/>
      <c r="Q168" s="212"/>
      <c r="R168" s="212"/>
      <c r="S168" s="190"/>
      <c r="T168" s="332"/>
    </row>
    <row r="169" spans="15:20" x14ac:dyDescent="0.25">
      <c r="O169" s="212"/>
      <c r="P169" s="212"/>
      <c r="Q169" s="212"/>
      <c r="R169" s="212"/>
      <c r="S169" s="190"/>
      <c r="T169" s="332"/>
    </row>
    <row r="170" spans="15:20" x14ac:dyDescent="0.25">
      <c r="O170" s="212"/>
      <c r="P170" s="212"/>
      <c r="Q170" s="212"/>
      <c r="R170" s="212"/>
      <c r="S170" s="190"/>
      <c r="T170" s="332"/>
    </row>
    <row r="171" spans="15:20" x14ac:dyDescent="0.25">
      <c r="O171" s="212"/>
      <c r="P171" s="212"/>
      <c r="Q171" s="212"/>
      <c r="R171" s="212"/>
      <c r="S171" s="190"/>
      <c r="T171" s="332"/>
    </row>
    <row r="172" spans="15:20" ht="30" x14ac:dyDescent="0.25">
      <c r="O172" s="212" t="s">
        <v>212</v>
      </c>
      <c r="P172" s="212" t="s">
        <v>197</v>
      </c>
      <c r="Q172" s="212">
        <v>4.8</v>
      </c>
      <c r="R172" s="224" t="s">
        <v>213</v>
      </c>
      <c r="S172" s="190"/>
      <c r="T172" s="332"/>
    </row>
    <row r="173" spans="15:20" x14ac:dyDescent="0.25">
      <c r="O173" s="212"/>
      <c r="P173" s="212"/>
      <c r="Q173" s="212"/>
      <c r="R173" s="212"/>
      <c r="S173" s="190"/>
      <c r="T173" s="332"/>
    </row>
    <row r="174" spans="15:20" x14ac:dyDescent="0.25">
      <c r="O174" s="212"/>
      <c r="P174" s="212"/>
      <c r="Q174" s="212"/>
      <c r="R174" s="212"/>
      <c r="S174" s="190"/>
      <c r="T174" s="332"/>
    </row>
    <row r="175" spans="15:20" x14ac:dyDescent="0.25">
      <c r="O175" s="212"/>
      <c r="P175" s="212"/>
      <c r="Q175" s="212"/>
      <c r="R175" s="212"/>
      <c r="S175" s="190"/>
      <c r="T175" s="332"/>
    </row>
    <row r="176" spans="15:20" x14ac:dyDescent="0.25">
      <c r="O176" s="212"/>
      <c r="P176" s="212"/>
      <c r="Q176" s="212"/>
      <c r="R176" s="212"/>
      <c r="S176" s="190"/>
      <c r="T176" s="332"/>
    </row>
    <row r="177" spans="15:20" ht="18" x14ac:dyDescent="0.25">
      <c r="O177" s="251" t="s">
        <v>214</v>
      </c>
      <c r="P177" s="251"/>
      <c r="Q177" s="251"/>
      <c r="R177" s="251"/>
      <c r="S177" s="190"/>
      <c r="T177" s="332"/>
    </row>
    <row r="178" spans="15:20" x14ac:dyDescent="0.25">
      <c r="O178" s="208" t="s">
        <v>152</v>
      </c>
      <c r="P178" s="208" t="s">
        <v>153</v>
      </c>
      <c r="Q178" s="208" t="s">
        <v>154</v>
      </c>
      <c r="R178" s="208" t="s">
        <v>155</v>
      </c>
      <c r="S178" s="190"/>
      <c r="T178" s="332"/>
    </row>
    <row r="179" spans="15:20" x14ac:dyDescent="0.25">
      <c r="O179" s="212" t="s">
        <v>89</v>
      </c>
      <c r="P179" s="212" t="s">
        <v>157</v>
      </c>
      <c r="Q179" s="228">
        <v>6.0000000000000001E-3</v>
      </c>
      <c r="R179" s="229" t="s">
        <v>216</v>
      </c>
      <c r="S179" s="190"/>
      <c r="T179" s="332"/>
    </row>
    <row r="180" spans="15:20" x14ac:dyDescent="0.25">
      <c r="O180" s="212"/>
      <c r="P180" s="212"/>
      <c r="Q180" s="212"/>
      <c r="R180" s="212"/>
      <c r="S180" s="333"/>
      <c r="T180" s="331" t="s">
        <v>215</v>
      </c>
    </row>
    <row r="181" spans="15:20" x14ac:dyDescent="0.25">
      <c r="O181" s="212"/>
      <c r="P181" s="212"/>
      <c r="Q181" s="212"/>
      <c r="R181" s="212"/>
      <c r="S181" s="333"/>
      <c r="T181" s="331"/>
    </row>
    <row r="182" spans="15:20" x14ac:dyDescent="0.25">
      <c r="O182" s="212"/>
      <c r="P182" s="212"/>
      <c r="Q182" s="212"/>
      <c r="R182" s="212"/>
      <c r="S182" s="333"/>
      <c r="T182" s="331"/>
    </row>
    <row r="183" spans="15:20" ht="18" x14ac:dyDescent="0.25">
      <c r="O183" s="251" t="s">
        <v>217</v>
      </c>
      <c r="P183" s="251"/>
      <c r="Q183" s="251"/>
      <c r="R183" s="251"/>
      <c r="S183" s="333"/>
      <c r="T183" s="331"/>
    </row>
    <row r="184" spans="15:20" x14ac:dyDescent="0.25">
      <c r="O184" s="208" t="s">
        <v>152</v>
      </c>
      <c r="P184" s="208" t="s">
        <v>153</v>
      </c>
      <c r="Q184" s="208" t="s">
        <v>154</v>
      </c>
      <c r="R184" s="208" t="s">
        <v>155</v>
      </c>
      <c r="S184" s="333"/>
      <c r="T184" s="331"/>
    </row>
    <row r="185" spans="15:20" x14ac:dyDescent="0.25">
      <c r="O185" s="212" t="s">
        <v>69</v>
      </c>
      <c r="P185" s="212" t="s">
        <v>219</v>
      </c>
      <c r="Q185" s="190">
        <v>0.7</v>
      </c>
      <c r="R185" s="190" t="s">
        <v>220</v>
      </c>
      <c r="S185" s="333"/>
      <c r="T185" s="331"/>
    </row>
    <row r="186" spans="15:20" x14ac:dyDescent="0.25">
      <c r="S186" s="333"/>
      <c r="T186" s="331" t="s">
        <v>218</v>
      </c>
    </row>
    <row r="187" spans="15:20" x14ac:dyDescent="0.25">
      <c r="S187" s="333"/>
      <c r="T187" s="331"/>
    </row>
    <row r="188" spans="15:20" x14ac:dyDescent="0.25">
      <c r="S188" s="333"/>
      <c r="T188" s="331"/>
    </row>
    <row r="189" spans="15:20" x14ac:dyDescent="0.25">
      <c r="O189" s="212"/>
      <c r="P189" s="212"/>
      <c r="Q189" s="212"/>
      <c r="R189" s="212"/>
      <c r="S189" s="333"/>
      <c r="T189" s="331"/>
    </row>
    <row r="190" spans="15:20" x14ac:dyDescent="0.25">
      <c r="O190" s="212"/>
      <c r="P190" s="212"/>
      <c r="Q190" s="212"/>
      <c r="R190" s="212"/>
      <c r="S190" s="333"/>
      <c r="T190" s="331"/>
    </row>
    <row r="191" spans="15:20" x14ac:dyDescent="0.25">
      <c r="O191" s="212"/>
      <c r="P191" s="212"/>
      <c r="Q191" s="212"/>
      <c r="R191" s="212"/>
      <c r="S191" s="333"/>
      <c r="T191" s="331"/>
    </row>
  </sheetData>
  <sheetProtection algorithmName="SHA-512" hashValue="xdALMiJVj35e3jTL9+otxCNMhIUjCe3agKztmTSQeJzm0hUfE0cXnp1byrIVTUuse59jQLgz+mzp6o/6Ohlifw==" saltValue="0zIfoVAfkIZFihIZx79S9g==" spinCount="100000" sheet="1" formatRows="0" selectLockedCells="1"/>
  <mergeCells count="27">
    <mergeCell ref="D8:E8"/>
    <mergeCell ref="B90:B93"/>
    <mergeCell ref="B104:B108"/>
    <mergeCell ref="B77:L79"/>
    <mergeCell ref="S117:S122"/>
    <mergeCell ref="D10:E10"/>
    <mergeCell ref="D12:E12"/>
    <mergeCell ref="B94:B103"/>
    <mergeCell ref="T111:T116"/>
    <mergeCell ref="O81:R81"/>
    <mergeCell ref="S81:S91"/>
    <mergeCell ref="T81:T91"/>
    <mergeCell ref="O92:R92"/>
    <mergeCell ref="S92:S101"/>
    <mergeCell ref="T92:T101"/>
    <mergeCell ref="S104:S110"/>
    <mergeCell ref="T104:T110"/>
    <mergeCell ref="S111:S116"/>
    <mergeCell ref="T117:T122"/>
    <mergeCell ref="T156:T179"/>
    <mergeCell ref="S180:S185"/>
    <mergeCell ref="T180:T185"/>
    <mergeCell ref="S186:S191"/>
    <mergeCell ref="T186:T191"/>
    <mergeCell ref="S123:S128"/>
    <mergeCell ref="T123:T128"/>
    <mergeCell ref="T129:T153"/>
  </mergeCells>
  <conditionalFormatting sqref="D18">
    <cfRule type="expression" dxfId="11" priority="24" stopIfTrue="1">
      <formula>$D$16&gt;1</formula>
    </cfRule>
  </conditionalFormatting>
  <conditionalFormatting sqref="D29">
    <cfRule type="expression" dxfId="10" priority="22" stopIfTrue="1">
      <formula>$D$27=5</formula>
    </cfRule>
  </conditionalFormatting>
  <conditionalFormatting sqref="C40">
    <cfRule type="expression" dxfId="9" priority="21">
      <formula>$D$41</formula>
    </cfRule>
  </conditionalFormatting>
  <conditionalFormatting sqref="E40">
    <cfRule type="expression" dxfId="8" priority="20">
      <formula>$F$41</formula>
    </cfRule>
  </conditionalFormatting>
  <conditionalFormatting sqref="I40">
    <cfRule type="expression" dxfId="7" priority="19">
      <formula>$J$41</formula>
    </cfRule>
  </conditionalFormatting>
  <conditionalFormatting sqref="J60">
    <cfRule type="expression" dxfId="6" priority="7" stopIfTrue="1">
      <formula>AND($J$60&lt;$D$60,$J$60&gt;0)</formula>
    </cfRule>
  </conditionalFormatting>
  <conditionalFormatting sqref="D60">
    <cfRule type="expression" dxfId="5" priority="6" stopIfTrue="1">
      <formula>$D$60&gt;500</formula>
    </cfRule>
  </conditionalFormatting>
  <conditionalFormatting sqref="D62">
    <cfRule type="expression" dxfId="4" priority="5" stopIfTrue="1">
      <formula>$D$62&gt;699</formula>
    </cfRule>
  </conditionalFormatting>
  <conditionalFormatting sqref="D64">
    <cfRule type="expression" dxfId="3" priority="4" stopIfTrue="1">
      <formula>$D$64&gt;699</formula>
    </cfRule>
  </conditionalFormatting>
  <conditionalFormatting sqref="J62">
    <cfRule type="expression" dxfId="2" priority="3" stopIfTrue="1">
      <formula>$J$62&gt;0</formula>
    </cfRule>
  </conditionalFormatting>
  <conditionalFormatting sqref="J64">
    <cfRule type="expression" dxfId="1" priority="2" stopIfTrue="1">
      <formula>$J$64&gt;0</formula>
    </cfRule>
  </conditionalFormatting>
  <conditionalFormatting sqref="K20">
    <cfRule type="expression" dxfId="0" priority="1" stopIfTrue="1">
      <formula>$K$20&gt;1250</formula>
    </cfRule>
  </conditionalFormatting>
  <dataValidations count="13">
    <dataValidation type="date" allowBlank="1" showInputMessage="1" showErrorMessage="1" sqref="K8" xr:uid="{00000000-0002-0000-0000-000000000000}">
      <formula1>TODAY()</formula1>
      <formula2>TODAY()+400</formula2>
    </dataValidation>
    <dataValidation type="whole" allowBlank="1" showInputMessage="1" showErrorMessage="1" sqref="D64 D62 D60" xr:uid="{00000000-0002-0000-0000-000001000000}">
      <formula1>0</formula1>
      <formula2>9999</formula2>
    </dataValidation>
    <dataValidation type="whole" allowBlank="1" showInputMessage="1" showErrorMessage="1" sqref="K12" xr:uid="{00000000-0002-0000-0000-000002000000}">
      <formula1>500</formula1>
      <formula2>7200</formula2>
    </dataValidation>
    <dataValidation type="whole" allowBlank="1" showInputMessage="1" showErrorMessage="1" sqref="K14" xr:uid="{00000000-0002-0000-0000-000003000000}">
      <formula1>0</formula1>
      <formula2>999</formula2>
    </dataValidation>
    <dataValidation type="whole" allowBlank="1" showInputMessage="1" showErrorMessage="1" sqref="K18" xr:uid="{00000000-0002-0000-0000-000004000000}">
      <formula1>1</formula1>
      <formula2>11</formula2>
    </dataValidation>
    <dataValidation type="whole" allowBlank="1" showInputMessage="1" showErrorMessage="1" sqref="J60" xr:uid="{00000000-0002-0000-0000-000005000000}">
      <formula1>0</formula1>
      <formula2>D60</formula2>
    </dataValidation>
    <dataValidation type="whole" allowBlank="1" showInputMessage="1" showErrorMessage="1" sqref="J62 J64 J27" xr:uid="{00000000-0002-0000-0000-000006000000}">
      <formula1>0</formula1>
      <formula2>99</formula2>
    </dataValidation>
    <dataValidation type="whole" allowBlank="1" showInputMessage="1" showErrorMessage="1" sqref="K10" xr:uid="{00000000-0002-0000-0000-000007000000}">
      <formula1>1</formula1>
      <formula2>9999</formula2>
    </dataValidation>
    <dataValidation type="whole" allowBlank="1" showInputMessage="1" showErrorMessage="1" sqref="J29 J25" xr:uid="{00000000-0002-0000-0000-000008000000}">
      <formula1>0</formula1>
      <formula2>10</formula2>
    </dataValidation>
    <dataValidation type="whole" allowBlank="1" showInputMessage="1" showErrorMessage="1" sqref="K25 K27 K29" xr:uid="{00000000-0002-0000-0000-000009000000}">
      <formula1>250</formula1>
      <formula2>850</formula2>
    </dataValidation>
    <dataValidation type="decimal" allowBlank="1" showInputMessage="1" showErrorMessage="1" sqref="D29" xr:uid="{00000000-0002-0000-0000-00000A000000}">
      <formula1>0</formula1>
      <formula2>999</formula2>
    </dataValidation>
    <dataValidation allowBlank="1" showErrorMessage="1" sqref="Q38" xr:uid="{00000000-0002-0000-0000-00000B000000}"/>
    <dataValidation type="textLength" operator="lessThanOrEqual" allowBlank="1" showInputMessage="1" showErrorMessage="1" errorTitle="Too many characters" error="Max. 30 characters allowed" sqref="D8:E8" xr:uid="{A874AD94-C5FF-43E0-9AC9-4A3EB6358EB1}">
      <formula1>30</formula1>
    </dataValidation>
  </dataValidations>
  <pageMargins left="0.7" right="0.7" top="0.75" bottom="0.75" header="0.3" footer="0.3"/>
  <pageSetup paperSize="9" scale="53"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macro="[0]!Lenyíló1_Váltás">
                <anchor moveWithCells="1">
                  <from>
                    <xdr:col>3</xdr:col>
                    <xdr:colOff>0</xdr:colOff>
                    <xdr:row>15</xdr:row>
                    <xdr:rowOff>9525</xdr:rowOff>
                  </from>
                  <to>
                    <xdr:col>4</xdr:col>
                    <xdr:colOff>771525</xdr:colOff>
                    <xdr:row>16</xdr:row>
                    <xdr:rowOff>9525</xdr:rowOff>
                  </to>
                </anchor>
              </controlPr>
            </control>
          </mc:Choice>
        </mc:AlternateContent>
        <mc:AlternateContent xmlns:mc="http://schemas.openxmlformats.org/markup-compatibility/2006">
          <mc:Choice Requires="x14">
            <control shapeId="1026" r:id="rId5" name="Drop Down 2">
              <controlPr defaultSize="0" autoLine="0" autoPict="0" macro="[0]!change_paneltype">
                <anchor moveWithCells="1">
                  <from>
                    <xdr:col>3</xdr:col>
                    <xdr:colOff>0</xdr:colOff>
                    <xdr:row>13</xdr:row>
                    <xdr:rowOff>0</xdr:rowOff>
                  </from>
                  <to>
                    <xdr:col>4</xdr:col>
                    <xdr:colOff>771525</xdr:colOff>
                    <xdr:row>14</xdr:row>
                    <xdr:rowOff>0</xdr:rowOff>
                  </to>
                </anchor>
              </controlPr>
            </control>
          </mc:Choice>
        </mc:AlternateContent>
        <mc:AlternateContent xmlns:mc="http://schemas.openxmlformats.org/markup-compatibility/2006">
          <mc:Choice Requires="x14">
            <control shapeId="1027" r:id="rId6" name="Spinner 3">
              <controlPr locked="0" defaultSize="0" print="0" autoPict="0">
                <anchor moveWithCells="1" sizeWithCells="1">
                  <from>
                    <xdr:col>10</xdr:col>
                    <xdr:colOff>581025</xdr:colOff>
                    <xdr:row>9</xdr:row>
                    <xdr:rowOff>0</xdr:rowOff>
                  </from>
                  <to>
                    <xdr:col>11</xdr:col>
                    <xdr:colOff>0</xdr:colOff>
                    <xdr:row>10</xdr:row>
                    <xdr:rowOff>0</xdr:rowOff>
                  </to>
                </anchor>
              </controlPr>
            </control>
          </mc:Choice>
        </mc:AlternateContent>
        <mc:AlternateContent xmlns:mc="http://schemas.openxmlformats.org/markup-compatibility/2006">
          <mc:Choice Requires="x14">
            <control shapeId="1028" r:id="rId7" name="Spinner 4">
              <controlPr locked="0" defaultSize="0" print="0" autoPict="0" macro="[0]!Spinner4_Change">
                <anchor moveWithCells="1" sizeWithCells="1">
                  <from>
                    <xdr:col>10</xdr:col>
                    <xdr:colOff>581025</xdr:colOff>
                    <xdr:row>11</xdr:row>
                    <xdr:rowOff>0</xdr:rowOff>
                  </from>
                  <to>
                    <xdr:col>11</xdr:col>
                    <xdr:colOff>0</xdr:colOff>
                    <xdr:row>12</xdr:row>
                    <xdr:rowOff>0</xdr:rowOff>
                  </to>
                </anchor>
              </controlPr>
            </control>
          </mc:Choice>
        </mc:AlternateContent>
        <mc:AlternateContent xmlns:mc="http://schemas.openxmlformats.org/markup-compatibility/2006">
          <mc:Choice Requires="x14">
            <control shapeId="1029" r:id="rId8" name="Spinner 5">
              <controlPr locked="0" defaultSize="0" print="0" autoPict="0" macro="[0]!Spinner5_Change">
                <anchor moveWithCells="1" sizeWithCells="1">
                  <from>
                    <xdr:col>10</xdr:col>
                    <xdr:colOff>581025</xdr:colOff>
                    <xdr:row>13</xdr:row>
                    <xdr:rowOff>0</xdr:rowOff>
                  </from>
                  <to>
                    <xdr:col>11</xdr:col>
                    <xdr:colOff>0</xdr:colOff>
                    <xdr:row>14</xdr:row>
                    <xdr:rowOff>0</xdr:rowOff>
                  </to>
                </anchor>
              </controlPr>
            </control>
          </mc:Choice>
        </mc:AlternateContent>
        <mc:AlternateContent xmlns:mc="http://schemas.openxmlformats.org/markup-compatibility/2006">
          <mc:Choice Requires="x14">
            <control shapeId="1031" r:id="rId9" name="Spinner 7">
              <controlPr locked="0" defaultSize="0" print="0" autoPict="0" macro="[0]!Spinner7_Change">
                <anchor moveWithCells="1" sizeWithCells="1">
                  <from>
                    <xdr:col>9</xdr:col>
                    <xdr:colOff>581025</xdr:colOff>
                    <xdr:row>24</xdr:row>
                    <xdr:rowOff>0</xdr:rowOff>
                  </from>
                  <to>
                    <xdr:col>10</xdr:col>
                    <xdr:colOff>0</xdr:colOff>
                    <xdr:row>25</xdr:row>
                    <xdr:rowOff>0</xdr:rowOff>
                  </to>
                </anchor>
              </controlPr>
            </control>
          </mc:Choice>
        </mc:AlternateContent>
        <mc:AlternateContent xmlns:mc="http://schemas.openxmlformats.org/markup-compatibility/2006">
          <mc:Choice Requires="x14">
            <control shapeId="1032" r:id="rId10" name="Spinner 8">
              <controlPr locked="0" defaultSize="0" print="0" autoPict="0">
                <anchor moveWithCells="1" sizeWithCells="1">
                  <from>
                    <xdr:col>10</xdr:col>
                    <xdr:colOff>581025</xdr:colOff>
                    <xdr:row>24</xdr:row>
                    <xdr:rowOff>0</xdr:rowOff>
                  </from>
                  <to>
                    <xdr:col>11</xdr:col>
                    <xdr:colOff>0</xdr:colOff>
                    <xdr:row>25</xdr:row>
                    <xdr:rowOff>0</xdr:rowOff>
                  </to>
                </anchor>
              </controlPr>
            </control>
          </mc:Choice>
        </mc:AlternateContent>
        <mc:AlternateContent xmlns:mc="http://schemas.openxmlformats.org/markup-compatibility/2006">
          <mc:Choice Requires="x14">
            <control shapeId="1033" r:id="rId11" name="Spinner 9">
              <controlPr locked="0" defaultSize="0" print="0" autoPict="0">
                <anchor moveWithCells="1" sizeWithCells="1">
                  <from>
                    <xdr:col>9</xdr:col>
                    <xdr:colOff>581025</xdr:colOff>
                    <xdr:row>26</xdr:row>
                    <xdr:rowOff>0</xdr:rowOff>
                  </from>
                  <to>
                    <xdr:col>10</xdr:col>
                    <xdr:colOff>0</xdr:colOff>
                    <xdr:row>27</xdr:row>
                    <xdr:rowOff>0</xdr:rowOff>
                  </to>
                </anchor>
              </controlPr>
            </control>
          </mc:Choice>
        </mc:AlternateContent>
        <mc:AlternateContent xmlns:mc="http://schemas.openxmlformats.org/markup-compatibility/2006">
          <mc:Choice Requires="x14">
            <control shapeId="1034" r:id="rId12" name="Spinner 10">
              <controlPr locked="0" defaultSize="0" print="0" autoPict="0">
                <anchor moveWithCells="1" sizeWithCells="1">
                  <from>
                    <xdr:col>10</xdr:col>
                    <xdr:colOff>581025</xdr:colOff>
                    <xdr:row>26</xdr:row>
                    <xdr:rowOff>0</xdr:rowOff>
                  </from>
                  <to>
                    <xdr:col>11</xdr:col>
                    <xdr:colOff>0</xdr:colOff>
                    <xdr:row>27</xdr:row>
                    <xdr:rowOff>0</xdr:rowOff>
                  </to>
                </anchor>
              </controlPr>
            </control>
          </mc:Choice>
        </mc:AlternateContent>
        <mc:AlternateContent xmlns:mc="http://schemas.openxmlformats.org/markup-compatibility/2006">
          <mc:Choice Requires="x14">
            <control shapeId="1035" r:id="rId13" name="Spinner 11">
              <controlPr locked="0" defaultSize="0" print="0" autoPict="0" macro="[0]!Spinner11_Change">
                <anchor moveWithCells="1" sizeWithCells="1">
                  <from>
                    <xdr:col>9</xdr:col>
                    <xdr:colOff>581025</xdr:colOff>
                    <xdr:row>28</xdr:row>
                    <xdr:rowOff>0</xdr:rowOff>
                  </from>
                  <to>
                    <xdr:col>10</xdr:col>
                    <xdr:colOff>0</xdr:colOff>
                    <xdr:row>29</xdr:row>
                    <xdr:rowOff>0</xdr:rowOff>
                  </to>
                </anchor>
              </controlPr>
            </control>
          </mc:Choice>
        </mc:AlternateContent>
        <mc:AlternateContent xmlns:mc="http://schemas.openxmlformats.org/markup-compatibility/2006">
          <mc:Choice Requires="x14">
            <control shapeId="1036" r:id="rId14" name="Spinner 12">
              <controlPr locked="0" defaultSize="0" print="0" autoPict="0">
                <anchor moveWithCells="1" sizeWithCells="1">
                  <from>
                    <xdr:col>10</xdr:col>
                    <xdr:colOff>581025</xdr:colOff>
                    <xdr:row>28</xdr:row>
                    <xdr:rowOff>0</xdr:rowOff>
                  </from>
                  <to>
                    <xdr:col>11</xdr:col>
                    <xdr:colOff>0</xdr:colOff>
                    <xdr:row>29</xdr:row>
                    <xdr:rowOff>0</xdr:rowOff>
                  </to>
                </anchor>
              </controlPr>
            </control>
          </mc:Choice>
        </mc:AlternateContent>
        <mc:AlternateContent xmlns:mc="http://schemas.openxmlformats.org/markup-compatibility/2006">
          <mc:Choice Requires="x14">
            <control shapeId="1039" r:id="rId15" name="Spinner 15">
              <controlPr locked="0" defaultSize="0" print="0" autoPict="0">
                <anchor moveWithCells="1" sizeWithCells="1">
                  <from>
                    <xdr:col>10</xdr:col>
                    <xdr:colOff>581025</xdr:colOff>
                    <xdr:row>17</xdr:row>
                    <xdr:rowOff>0</xdr:rowOff>
                  </from>
                  <to>
                    <xdr:col>11</xdr:col>
                    <xdr:colOff>0</xdr:colOff>
                    <xdr:row>18</xdr:row>
                    <xdr:rowOff>0</xdr:rowOff>
                  </to>
                </anchor>
              </controlPr>
            </control>
          </mc:Choice>
        </mc:AlternateContent>
        <mc:AlternateContent xmlns:mc="http://schemas.openxmlformats.org/markup-compatibility/2006">
          <mc:Choice Requires="x14">
            <control shapeId="1040" r:id="rId16" name="Drop Down 16">
              <controlPr defaultSize="0" autoLine="0" autoPict="0">
                <anchor moveWithCells="1">
                  <from>
                    <xdr:col>3</xdr:col>
                    <xdr:colOff>0</xdr:colOff>
                    <xdr:row>24</xdr:row>
                    <xdr:rowOff>0</xdr:rowOff>
                  </from>
                  <to>
                    <xdr:col>4</xdr:col>
                    <xdr:colOff>0</xdr:colOff>
                    <xdr:row>25</xdr:row>
                    <xdr:rowOff>0</xdr:rowOff>
                  </to>
                </anchor>
              </controlPr>
            </control>
          </mc:Choice>
        </mc:AlternateContent>
        <mc:AlternateContent xmlns:mc="http://schemas.openxmlformats.org/markup-compatibility/2006">
          <mc:Choice Requires="x14">
            <control shapeId="1041" r:id="rId17" name="Drop Down 17">
              <controlPr defaultSize="0" autoLine="0" autoPict="0" macro="[0]!Lenyíló17_Váltás">
                <anchor moveWithCells="1">
                  <from>
                    <xdr:col>3</xdr:col>
                    <xdr:colOff>0</xdr:colOff>
                    <xdr:row>26</xdr:row>
                    <xdr:rowOff>0</xdr:rowOff>
                  </from>
                  <to>
                    <xdr:col>4</xdr:col>
                    <xdr:colOff>0</xdr:colOff>
                    <xdr:row>27</xdr:row>
                    <xdr:rowOff>0</xdr:rowOff>
                  </to>
                </anchor>
              </controlPr>
            </control>
          </mc:Choice>
        </mc:AlternateContent>
        <mc:AlternateContent xmlns:mc="http://schemas.openxmlformats.org/markup-compatibility/2006">
          <mc:Choice Requires="x14">
            <control shapeId="1066" r:id="rId18" name="Drop Down 42">
              <controlPr defaultSize="0" autoLine="0" autoPict="0">
                <anchor moveWithCells="1">
                  <from>
                    <xdr:col>3</xdr:col>
                    <xdr:colOff>0</xdr:colOff>
                    <xdr:row>19</xdr:row>
                    <xdr:rowOff>0</xdr:rowOff>
                  </from>
                  <to>
                    <xdr:col>4</xdr:col>
                    <xdr:colOff>0</xdr:colOff>
                    <xdr:row>20</xdr:row>
                    <xdr:rowOff>0</xdr:rowOff>
                  </to>
                </anchor>
              </controlPr>
            </control>
          </mc:Choice>
        </mc:AlternateContent>
        <mc:AlternateContent xmlns:mc="http://schemas.openxmlformats.org/markup-compatibility/2006">
          <mc:Choice Requires="x14">
            <control shapeId="1197" r:id="rId19" name="Drop Down 173">
              <controlPr defaultSize="0" autoLine="0" autoPict="0">
                <anchor moveWithCells="1">
                  <from>
                    <xdr:col>3</xdr:col>
                    <xdr:colOff>0</xdr:colOff>
                    <xdr:row>30</xdr:row>
                    <xdr:rowOff>0</xdr:rowOff>
                  </from>
                  <to>
                    <xdr:col>4</xdr:col>
                    <xdr:colOff>0</xdr:colOff>
                    <xdr:row>31</xdr:row>
                    <xdr:rowOff>0</xdr:rowOff>
                  </to>
                </anchor>
              </controlPr>
            </control>
          </mc:Choice>
        </mc:AlternateContent>
        <mc:AlternateContent xmlns:mc="http://schemas.openxmlformats.org/markup-compatibility/2006">
          <mc:Choice Requires="x14">
            <control shapeId="1238" r:id="rId20" name="Drop Down 214">
              <controlPr defaultSize="0" autoLine="0" autoPict="0">
                <anchor moveWithCells="1">
                  <from>
                    <xdr:col>3</xdr:col>
                    <xdr:colOff>0</xdr:colOff>
                    <xdr:row>37</xdr:row>
                    <xdr:rowOff>0</xdr:rowOff>
                  </from>
                  <to>
                    <xdr:col>4</xdr:col>
                    <xdr:colOff>0</xdr:colOff>
                    <xdr:row>38</xdr:row>
                    <xdr:rowOff>47625</xdr:rowOff>
                  </to>
                </anchor>
              </controlPr>
            </control>
          </mc:Choice>
        </mc:AlternateContent>
        <mc:AlternateContent xmlns:mc="http://schemas.openxmlformats.org/markup-compatibility/2006">
          <mc:Choice Requires="x14">
            <control shapeId="1239" r:id="rId21" name="Check Box 215">
              <controlPr defaultSize="0" autoFill="0" autoLine="0" autoPict="0">
                <anchor moveWithCells="1">
                  <from>
                    <xdr:col>2</xdr:col>
                    <xdr:colOff>1609725</xdr:colOff>
                    <xdr:row>38</xdr:row>
                    <xdr:rowOff>66675</xdr:rowOff>
                  </from>
                  <to>
                    <xdr:col>3</xdr:col>
                    <xdr:colOff>266700</xdr:colOff>
                    <xdr:row>39</xdr:row>
                    <xdr:rowOff>219075</xdr:rowOff>
                  </to>
                </anchor>
              </controlPr>
            </control>
          </mc:Choice>
        </mc:AlternateContent>
        <mc:AlternateContent xmlns:mc="http://schemas.openxmlformats.org/markup-compatibility/2006">
          <mc:Choice Requires="x14">
            <control shapeId="1240" r:id="rId22" name="Check Box 216">
              <controlPr defaultSize="0" autoFill="0" autoLine="0" autoPict="0">
                <anchor moveWithCells="1">
                  <from>
                    <xdr:col>4</xdr:col>
                    <xdr:colOff>933450</xdr:colOff>
                    <xdr:row>38</xdr:row>
                    <xdr:rowOff>57150</xdr:rowOff>
                  </from>
                  <to>
                    <xdr:col>6</xdr:col>
                    <xdr:colOff>95250</xdr:colOff>
                    <xdr:row>39</xdr:row>
                    <xdr:rowOff>209550</xdr:rowOff>
                  </to>
                </anchor>
              </controlPr>
            </control>
          </mc:Choice>
        </mc:AlternateContent>
        <mc:AlternateContent xmlns:mc="http://schemas.openxmlformats.org/markup-compatibility/2006">
          <mc:Choice Requires="x14">
            <control shapeId="1241" r:id="rId23" name="Check Box 217">
              <controlPr defaultSize="0" autoFill="0" autoLine="0" autoPict="0">
                <anchor moveWithCells="1">
                  <from>
                    <xdr:col>8</xdr:col>
                    <xdr:colOff>1085850</xdr:colOff>
                    <xdr:row>38</xdr:row>
                    <xdr:rowOff>57150</xdr:rowOff>
                  </from>
                  <to>
                    <xdr:col>9</xdr:col>
                    <xdr:colOff>266700</xdr:colOff>
                    <xdr:row>39</xdr:row>
                    <xdr:rowOff>209550</xdr:rowOff>
                  </to>
                </anchor>
              </controlPr>
            </control>
          </mc:Choice>
        </mc:AlternateContent>
        <mc:AlternateContent xmlns:mc="http://schemas.openxmlformats.org/markup-compatibility/2006">
          <mc:Choice Requires="x14">
            <control shapeId="15849" r:id="rId24" name="Check Box 1513">
              <controlPr defaultSize="0" autoFill="0" autoLine="0" autoPict="0" macro="[0]!recommended_off">
                <anchor moveWithCells="1">
                  <from>
                    <xdr:col>1</xdr:col>
                    <xdr:colOff>428625</xdr:colOff>
                    <xdr:row>45</xdr:row>
                    <xdr:rowOff>57150</xdr:rowOff>
                  </from>
                  <to>
                    <xdr:col>1</xdr:col>
                    <xdr:colOff>657225</xdr:colOff>
                    <xdr:row>47</xdr:row>
                    <xdr:rowOff>9525</xdr:rowOff>
                  </to>
                </anchor>
              </controlPr>
            </control>
          </mc:Choice>
        </mc:AlternateContent>
        <mc:AlternateContent xmlns:mc="http://schemas.openxmlformats.org/markup-compatibility/2006">
          <mc:Choice Requires="x14">
            <control shapeId="15850" r:id="rId25" name="Check Box 1514">
              <controlPr defaultSize="0" autoFill="0" autoLine="0" autoPict="0" macro="[0]!recommended_off">
                <anchor moveWithCells="1">
                  <from>
                    <xdr:col>1</xdr:col>
                    <xdr:colOff>428625</xdr:colOff>
                    <xdr:row>47</xdr:row>
                    <xdr:rowOff>57150</xdr:rowOff>
                  </from>
                  <to>
                    <xdr:col>1</xdr:col>
                    <xdr:colOff>657225</xdr:colOff>
                    <xdr:row>49</xdr:row>
                    <xdr:rowOff>9525</xdr:rowOff>
                  </to>
                </anchor>
              </controlPr>
            </control>
          </mc:Choice>
        </mc:AlternateContent>
        <mc:AlternateContent xmlns:mc="http://schemas.openxmlformats.org/markup-compatibility/2006">
          <mc:Choice Requires="x14">
            <control shapeId="15851" r:id="rId26" name="Check Box 1515">
              <controlPr defaultSize="0" autoFill="0" autoLine="0" autoPict="0" macro="[0]!apply_reinforced">
                <anchor moveWithCells="1">
                  <from>
                    <xdr:col>1</xdr:col>
                    <xdr:colOff>428625</xdr:colOff>
                    <xdr:row>49</xdr:row>
                    <xdr:rowOff>57150</xdr:rowOff>
                  </from>
                  <to>
                    <xdr:col>1</xdr:col>
                    <xdr:colOff>657225</xdr:colOff>
                    <xdr:row>51</xdr:row>
                    <xdr:rowOff>9525</xdr:rowOff>
                  </to>
                </anchor>
              </controlPr>
            </control>
          </mc:Choice>
        </mc:AlternateContent>
        <mc:AlternateContent xmlns:mc="http://schemas.openxmlformats.org/markup-compatibility/2006">
          <mc:Choice Requires="x14">
            <control shapeId="15852" r:id="rId27" name="Check Box 1516">
              <controlPr defaultSize="0" autoFill="0" autoLine="0" autoPict="0" macro="[0]!apply_extra">
                <anchor moveWithCells="1">
                  <from>
                    <xdr:col>1</xdr:col>
                    <xdr:colOff>428625</xdr:colOff>
                    <xdr:row>51</xdr:row>
                    <xdr:rowOff>57150</xdr:rowOff>
                  </from>
                  <to>
                    <xdr:col>1</xdr:col>
                    <xdr:colOff>657225</xdr:colOff>
                    <xdr:row>53</xdr:row>
                    <xdr:rowOff>9525</xdr:rowOff>
                  </to>
                </anchor>
              </controlPr>
            </control>
          </mc:Choice>
        </mc:AlternateContent>
        <mc:AlternateContent xmlns:mc="http://schemas.openxmlformats.org/markup-compatibility/2006">
          <mc:Choice Requires="x14">
            <control shapeId="15858" r:id="rId28" name="Check Box 1522">
              <controlPr defaultSize="0" autoFill="0" autoLine="0" autoPict="0" macro="[0]!apply_recommended">
                <anchor moveWithCells="1">
                  <from>
                    <xdr:col>1</xdr:col>
                    <xdr:colOff>428625</xdr:colOff>
                    <xdr:row>43</xdr:row>
                    <xdr:rowOff>57150</xdr:rowOff>
                  </from>
                  <to>
                    <xdr:col>1</xdr:col>
                    <xdr:colOff>657225</xdr:colOff>
                    <xdr:row>45</xdr:row>
                    <xdr:rowOff>19050</xdr:rowOff>
                  </to>
                </anchor>
              </controlPr>
            </control>
          </mc:Choice>
        </mc:AlternateContent>
        <mc:AlternateContent xmlns:mc="http://schemas.openxmlformats.org/markup-compatibility/2006">
          <mc:Choice Requires="x14">
            <control shapeId="16079" r:id="rId29" name="Drop Down 1743">
              <controlPr defaultSize="0" autoLine="0" autoPict="0">
                <anchor moveWithCells="1">
                  <from>
                    <xdr:col>11</xdr:col>
                    <xdr:colOff>19050</xdr:colOff>
                    <xdr:row>1</xdr:row>
                    <xdr:rowOff>295275</xdr:rowOff>
                  </from>
                  <to>
                    <xdr:col>12</xdr:col>
                    <xdr:colOff>923925</xdr:colOff>
                    <xdr:row>1</xdr:row>
                    <xdr:rowOff>523875</xdr:rowOff>
                  </to>
                </anchor>
              </controlPr>
            </control>
          </mc:Choice>
        </mc:AlternateContent>
        <mc:AlternateContent xmlns:mc="http://schemas.openxmlformats.org/markup-compatibility/2006">
          <mc:Choice Requires="x14">
            <control shapeId="20885" r:id="rId30" name="Drop Down 2453">
              <controlPr defaultSize="0" autoLine="0" autoPict="0" macro="[0]!change_passdoortype">
                <anchor moveWithCells="1">
                  <from>
                    <xdr:col>3</xdr:col>
                    <xdr:colOff>0</xdr:colOff>
                    <xdr:row>57</xdr:row>
                    <xdr:rowOff>9525</xdr:rowOff>
                  </from>
                  <to>
                    <xdr:col>4</xdr:col>
                    <xdr:colOff>0</xdr:colOff>
                    <xdr:row>58</xdr:row>
                    <xdr:rowOff>9525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Munka9"/>
  <dimension ref="A1:G6"/>
  <sheetViews>
    <sheetView workbookViewId="0">
      <selection activeCell="D4" sqref="D4"/>
    </sheetView>
  </sheetViews>
  <sheetFormatPr defaultRowHeight="15" x14ac:dyDescent="0.25"/>
  <cols>
    <col min="1" max="1" width="9.140625" style="113"/>
    <col min="2" max="2" width="16" style="113" customWidth="1"/>
    <col min="3" max="3" width="38" style="113" bestFit="1" customWidth="1"/>
    <col min="4" max="4" width="10.28515625" style="113" bestFit="1" customWidth="1"/>
    <col min="5" max="5" width="16.7109375" style="113" customWidth="1"/>
    <col min="6" max="6" width="15" style="113" customWidth="1"/>
    <col min="7" max="7" width="23.28515625" style="113" bestFit="1" customWidth="1"/>
    <col min="8" max="16384" width="9.140625" style="113"/>
  </cols>
  <sheetData>
    <row r="1" spans="1:7" x14ac:dyDescent="0.25">
      <c r="A1" s="113" t="s">
        <v>16</v>
      </c>
      <c r="B1" s="113" t="s">
        <v>23</v>
      </c>
      <c r="C1" s="113" t="s">
        <v>25</v>
      </c>
      <c r="D1" s="113" t="s">
        <v>27</v>
      </c>
      <c r="E1" s="113" t="s">
        <v>227</v>
      </c>
      <c r="F1" s="113" t="s">
        <v>493</v>
      </c>
      <c r="G1" s="327" t="s">
        <v>640</v>
      </c>
    </row>
    <row r="2" spans="1:7" x14ac:dyDescent="0.25">
      <c r="A2" s="113">
        <v>1</v>
      </c>
      <c r="B2" s="113" t="s">
        <v>224</v>
      </c>
      <c r="C2" s="113" t="s">
        <v>230</v>
      </c>
      <c r="D2" s="113">
        <f>VLOOKUP(E2,mat!A:C,3,0)</f>
        <v>2.1598677785290366</v>
      </c>
      <c r="E2" s="113" t="s">
        <v>24</v>
      </c>
      <c r="F2" s="113">
        <v>155</v>
      </c>
      <c r="G2" s="327" t="s">
        <v>641</v>
      </c>
    </row>
    <row r="3" spans="1:7" x14ac:dyDescent="0.25">
      <c r="A3" s="113">
        <v>2</v>
      </c>
      <c r="B3" s="113" t="s">
        <v>225</v>
      </c>
      <c r="C3" s="113" t="s">
        <v>231</v>
      </c>
      <c r="D3" s="113">
        <f>VLOOKUP(E3,mat!A:C,3,0)</f>
        <v>2.248062015503876</v>
      </c>
      <c r="E3" s="113" t="s">
        <v>225</v>
      </c>
      <c r="F3" s="113">
        <v>155</v>
      </c>
      <c r="G3" s="327" t="s">
        <v>641</v>
      </c>
    </row>
    <row r="4" spans="1:7" x14ac:dyDescent="0.25">
      <c r="A4" s="113">
        <v>3</v>
      </c>
      <c r="B4" s="113" t="s">
        <v>262</v>
      </c>
      <c r="C4" s="113" t="s">
        <v>263</v>
      </c>
      <c r="D4" s="113">
        <f>VLOOKUP(E4,mat!A:C,3,0)</f>
        <v>3.5517338068978406</v>
      </c>
      <c r="E4" s="113" t="s">
        <v>262</v>
      </c>
      <c r="F4" s="113">
        <v>135</v>
      </c>
      <c r="G4" s="327" t="s">
        <v>642</v>
      </c>
    </row>
    <row r="5" spans="1:7" x14ac:dyDescent="0.25">
      <c r="A5" s="113">
        <v>4</v>
      </c>
      <c r="B5" s="113" t="s">
        <v>226</v>
      </c>
      <c r="C5" s="113" t="s">
        <v>232</v>
      </c>
      <c r="D5" s="113">
        <f>VLOOKUP(E5,mat!A:C,3,0)</f>
        <v>4.556570690291621</v>
      </c>
      <c r="E5" s="113" t="s">
        <v>226</v>
      </c>
      <c r="F5" s="113">
        <v>115</v>
      </c>
      <c r="G5" s="327" t="s">
        <v>643</v>
      </c>
    </row>
    <row r="6" spans="1:7" x14ac:dyDescent="0.25">
      <c r="A6" s="113">
        <v>5</v>
      </c>
      <c r="B6" s="113" t="s">
        <v>28</v>
      </c>
      <c r="C6" s="113" t="s">
        <v>233</v>
      </c>
      <c r="E6" s="113" t="s">
        <v>28</v>
      </c>
    </row>
  </sheetData>
  <sheetProtection algorithmName="SHA-512" hashValue="xGdG3TBTpwZtm7SS5qX+4eyi5aieCAxj2Rxscxq7iftTDfzDC5zEKhRxxuT3RPi0Q2ju2YxkJBDA0mVF+01akg==" saltValue="TAovhxAYtquQ6ArsFSJrKA==" spinCount="100000" sheet="1" selectLockedCells="1" selectUnlockedCells="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Munka10"/>
  <dimension ref="A1:C3"/>
  <sheetViews>
    <sheetView workbookViewId="0">
      <selection activeCell="C2" sqref="C2"/>
    </sheetView>
  </sheetViews>
  <sheetFormatPr defaultRowHeight="15" x14ac:dyDescent="0.25"/>
  <sheetData>
    <row r="1" spans="1:3" x14ac:dyDescent="0.25">
      <c r="A1" s="113" t="s">
        <v>16</v>
      </c>
      <c r="B1" s="113" t="s">
        <v>87</v>
      </c>
      <c r="C1" t="s">
        <v>23</v>
      </c>
    </row>
    <row r="2" spans="1:3" x14ac:dyDescent="0.25">
      <c r="A2">
        <v>1</v>
      </c>
      <c r="B2" t="str">
        <f>languages!$B$36</f>
        <v>plastic</v>
      </c>
      <c r="C2" t="str">
        <f>IF('order form'!$D$25=1,"APE1000","APD1000")</f>
        <v>APE1000</v>
      </c>
    </row>
    <row r="3" spans="1:3" x14ac:dyDescent="0.25">
      <c r="A3">
        <v>2</v>
      </c>
      <c r="B3" t="str">
        <f>languages!$B$37</f>
        <v>alu</v>
      </c>
      <c r="C3" t="str">
        <f>IF('order form'!$D25=1,"ALE1000","ALD1000")</f>
        <v>ALE1000</v>
      </c>
    </row>
  </sheetData>
  <sheetProtection algorithmName="SHA-512" hashValue="XY7JuCN2qM2iqGEBqkIxWiCgFSN+IP3ePnRjQXcRx8Sico8gZJHTxZs3FANI7SJF62ONXkYvmKGZWDwqvjq//A==" saltValue="ApUPWKDte+HVo+W2nIDMrg==" spinCount="100000" sheet="1" selectLockedCells="1" selectUnlockedCell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Munka12"/>
  <dimension ref="A1:D18"/>
  <sheetViews>
    <sheetView workbookViewId="0"/>
  </sheetViews>
  <sheetFormatPr defaultRowHeight="15" x14ac:dyDescent="0.25"/>
  <cols>
    <col min="1" max="1" width="26.140625" style="113" customWidth="1"/>
    <col min="2" max="3" width="9.140625" style="113"/>
    <col min="4" max="4" width="10.5703125" style="113" customWidth="1"/>
    <col min="5" max="16384" width="9.140625" style="113"/>
  </cols>
  <sheetData>
    <row r="1" spans="1:4" x14ac:dyDescent="0.25">
      <c r="A1" s="113" t="s">
        <v>119</v>
      </c>
      <c r="B1" s="115" t="s">
        <v>120</v>
      </c>
      <c r="C1" s="115"/>
    </row>
    <row r="2" spans="1:4" x14ac:dyDescent="0.25">
      <c r="A2" s="113" t="s">
        <v>109</v>
      </c>
      <c r="B2" s="116">
        <v>5</v>
      </c>
      <c r="C2" s="113" t="s">
        <v>121</v>
      </c>
      <c r="D2" s="116"/>
    </row>
    <row r="3" spans="1:4" x14ac:dyDescent="0.25">
      <c r="A3" s="113" t="s">
        <v>107</v>
      </c>
      <c r="B3" s="116">
        <v>1</v>
      </c>
      <c r="C3" s="113" t="s">
        <v>121</v>
      </c>
      <c r="D3" s="116"/>
    </row>
    <row r="4" spans="1:4" x14ac:dyDescent="0.25">
      <c r="A4" s="113" t="s">
        <v>108</v>
      </c>
      <c r="B4" s="116">
        <v>3</v>
      </c>
      <c r="C4" s="113" t="s">
        <v>121</v>
      </c>
      <c r="D4" s="116"/>
    </row>
    <row r="5" spans="1:4" x14ac:dyDescent="0.25">
      <c r="A5" s="113" t="s">
        <v>114</v>
      </c>
      <c r="B5" s="116">
        <v>1.5</v>
      </c>
      <c r="C5" s="113" t="s">
        <v>121</v>
      </c>
      <c r="D5" s="116"/>
    </row>
    <row r="6" spans="1:4" x14ac:dyDescent="0.25">
      <c r="A6" s="113" t="s">
        <v>110</v>
      </c>
      <c r="B6" s="116">
        <v>1.5</v>
      </c>
      <c r="C6" s="113" t="s">
        <v>121</v>
      </c>
      <c r="D6" s="116"/>
    </row>
    <row r="7" spans="1:4" x14ac:dyDescent="0.25">
      <c r="A7" s="113" t="s">
        <v>111</v>
      </c>
      <c r="B7" s="116">
        <v>0.5</v>
      </c>
      <c r="C7" s="113" t="s">
        <v>121</v>
      </c>
      <c r="D7" s="116"/>
    </row>
    <row r="8" spans="1:4" x14ac:dyDescent="0.25">
      <c r="A8" s="113" t="s">
        <v>112</v>
      </c>
      <c r="B8" s="116">
        <v>0.5</v>
      </c>
      <c r="C8" s="113" t="s">
        <v>121</v>
      </c>
      <c r="D8" s="116"/>
    </row>
    <row r="9" spans="1:4" x14ac:dyDescent="0.25">
      <c r="A9" s="113" t="s">
        <v>113</v>
      </c>
      <c r="B9" s="116">
        <v>8.5</v>
      </c>
      <c r="C9" s="113" t="s">
        <v>121</v>
      </c>
      <c r="D9" s="116"/>
    </row>
    <row r="10" spans="1:4" x14ac:dyDescent="0.25">
      <c r="A10" s="113" t="s">
        <v>115</v>
      </c>
      <c r="B10" s="116">
        <v>5</v>
      </c>
      <c r="C10" s="113" t="s">
        <v>121</v>
      </c>
      <c r="D10" s="116"/>
    </row>
    <row r="11" spans="1:4" x14ac:dyDescent="0.25">
      <c r="A11" s="113" t="s">
        <v>116</v>
      </c>
      <c r="B11" s="116">
        <v>2</v>
      </c>
      <c r="C11" s="113" t="s">
        <v>121</v>
      </c>
      <c r="D11" s="116"/>
    </row>
    <row r="12" spans="1:4" x14ac:dyDescent="0.25">
      <c r="A12" s="113" t="s">
        <v>117</v>
      </c>
      <c r="B12" s="116">
        <v>3</v>
      </c>
      <c r="C12" s="113" t="s">
        <v>121</v>
      </c>
      <c r="D12" s="116"/>
    </row>
    <row r="13" spans="1:4" x14ac:dyDescent="0.25">
      <c r="A13" s="113" t="s">
        <v>118</v>
      </c>
      <c r="B13" s="116">
        <v>11</v>
      </c>
      <c r="C13" s="113" t="s">
        <v>121</v>
      </c>
      <c r="D13" s="116"/>
    </row>
    <row r="17" spans="2:4" x14ac:dyDescent="0.25">
      <c r="B17" s="230"/>
      <c r="D17" s="230"/>
    </row>
    <row r="18" spans="2:4" x14ac:dyDescent="0.25">
      <c r="B18" s="230"/>
      <c r="D18" s="230"/>
    </row>
  </sheetData>
  <sheetProtection algorithmName="SHA-512" hashValue="9Z3U2mfBODmCfqAJcDQ3eDTAJMAogWeNel+dTUriNrKtDehepDVj4p5gb62JduTWDHAzULyG4HaE6RYt0zNYhA==" saltValue="Efv5Ht9pbunb+Qn9l4ziyw==" spinCount="100000" sheet="1" selectLockedCells="1" selectUnlockedCells="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Munka13"/>
  <dimension ref="A1:H4"/>
  <sheetViews>
    <sheetView workbookViewId="0"/>
  </sheetViews>
  <sheetFormatPr defaultRowHeight="15" x14ac:dyDescent="0.25"/>
  <cols>
    <col min="1" max="1" width="15.7109375" style="113" customWidth="1"/>
    <col min="2" max="2" width="9.140625" style="113"/>
    <col min="3" max="3" width="11.140625" style="113" bestFit="1" customWidth="1"/>
    <col min="4" max="16384" width="9.140625" style="113"/>
  </cols>
  <sheetData>
    <row r="1" spans="1:8" x14ac:dyDescent="0.25">
      <c r="A1" s="113" t="s">
        <v>124</v>
      </c>
      <c r="B1" s="114">
        <v>41.060049019607845</v>
      </c>
      <c r="C1" s="294"/>
      <c r="F1" s="114"/>
      <c r="G1" s="114"/>
      <c r="H1" s="297"/>
    </row>
    <row r="2" spans="1:8" x14ac:dyDescent="0.25">
      <c r="A2" s="113" t="s">
        <v>283</v>
      </c>
      <c r="B2" s="114">
        <v>125.5453431372549</v>
      </c>
      <c r="C2" s="294"/>
      <c r="F2" s="114"/>
      <c r="G2" s="114"/>
      <c r="H2" s="297"/>
    </row>
    <row r="3" spans="1:8" x14ac:dyDescent="0.25">
      <c r="A3" s="113" t="s">
        <v>284</v>
      </c>
      <c r="B3" s="114">
        <v>40.153186274509807</v>
      </c>
      <c r="C3" s="294"/>
      <c r="F3" s="114"/>
      <c r="G3" s="114"/>
      <c r="H3" s="297"/>
    </row>
    <row r="4" spans="1:8" x14ac:dyDescent="0.25">
      <c r="F4" s="114"/>
      <c r="G4" s="114"/>
      <c r="H4" s="297"/>
    </row>
  </sheetData>
  <sheetProtection algorithmName="SHA-512" hashValue="WmbBsjcdZXgpJ3HxGH4xKLPiNKhhHPPQ8DhU2kkqWj6F2xtuuPaxUC2awgrmKhawA7nFba8H3s4GBNF6e6u8Pw==" saltValue="pwmDUEVEOJbglj5UgX8lrw==" spinCount="100000" sheet="1" selectLockedCells="1" selectUnlockedCell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Munka14"/>
  <dimension ref="A1:C4"/>
  <sheetViews>
    <sheetView workbookViewId="0"/>
  </sheetViews>
  <sheetFormatPr defaultRowHeight="15" x14ac:dyDescent="0.25"/>
  <cols>
    <col min="1" max="1" width="9.140625" style="113" customWidth="1"/>
    <col min="2" max="2" width="10" style="113" customWidth="1"/>
    <col min="3" max="3" width="14" style="113" customWidth="1"/>
    <col min="4" max="16384" width="9.140625" style="113"/>
  </cols>
  <sheetData>
    <row r="1" spans="1:3" x14ac:dyDescent="0.25">
      <c r="A1" s="113" t="s">
        <v>16</v>
      </c>
      <c r="B1" s="113" t="s">
        <v>140</v>
      </c>
      <c r="C1" s="113" t="s">
        <v>141</v>
      </c>
    </row>
    <row r="2" spans="1:3" x14ac:dyDescent="0.25">
      <c r="A2" s="113">
        <v>1</v>
      </c>
      <c r="B2" s="113" t="s">
        <v>143</v>
      </c>
      <c r="C2" s="117">
        <v>0</v>
      </c>
    </row>
    <row r="3" spans="1:3" x14ac:dyDescent="0.25">
      <c r="A3" s="113">
        <v>2</v>
      </c>
      <c r="B3" s="113" t="s">
        <v>661</v>
      </c>
      <c r="C3" s="117">
        <f>2090</f>
        <v>2090</v>
      </c>
    </row>
    <row r="4" spans="1:3" x14ac:dyDescent="0.25">
      <c r="A4" s="113">
        <v>3</v>
      </c>
      <c r="B4" s="113" t="s">
        <v>144</v>
      </c>
      <c r="C4" s="117">
        <f>1390</f>
        <v>1390</v>
      </c>
    </row>
  </sheetData>
  <sheetProtection algorithmName="SHA-512" hashValue="5t03/L6XyLItttddjCxJWNjZasWY6Eyig9iMK6t798U3Usdgh+iJihtsUz0g1+aZnsZAR24itrZsxSdFooD1oA==" saltValue="Sv0pYXj6rcWQd2EzqqPWuQ==" spinCount="100000" sheet="1" selectLockedCells="1" selectUnlockedCells="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Munka15"/>
  <dimension ref="A1:C5"/>
  <sheetViews>
    <sheetView workbookViewId="0"/>
  </sheetViews>
  <sheetFormatPr defaultRowHeight="15" x14ac:dyDescent="0.25"/>
  <cols>
    <col min="1" max="1" width="2.85546875" customWidth="1"/>
    <col min="2" max="2" width="15.28515625" customWidth="1"/>
    <col min="3" max="3" width="84.7109375" customWidth="1"/>
  </cols>
  <sheetData>
    <row r="1" spans="1:3" x14ac:dyDescent="0.25">
      <c r="A1" t="s">
        <v>16</v>
      </c>
      <c r="B1" t="s">
        <v>240</v>
      </c>
      <c r="C1" t="s">
        <v>25</v>
      </c>
    </row>
    <row r="2" spans="1:3" x14ac:dyDescent="0.25">
      <c r="A2">
        <v>1</v>
      </c>
      <c r="B2" t="s">
        <v>241</v>
      </c>
      <c r="C2" t="str">
        <f>languages!$B$48</f>
        <v>20mm nikecell covered by 0.8mm stucco alu plates on both sides</v>
      </c>
    </row>
    <row r="3" spans="1:3" x14ac:dyDescent="0.25">
      <c r="A3" t="s">
        <v>494</v>
      </c>
      <c r="B3" t="s">
        <v>242</v>
      </c>
      <c r="C3" t="str">
        <f>languages!$B$49</f>
        <v>20mm nikecell covered by 0.8mm flat alu plates on both sides</v>
      </c>
    </row>
    <row r="4" spans="1:3" x14ac:dyDescent="0.25">
      <c r="A4" t="s">
        <v>495</v>
      </c>
      <c r="B4" t="s">
        <v>250</v>
      </c>
      <c r="C4" t="str">
        <f>languages!$B$50</f>
        <v>20mm nikecell covered by 0.8mm alu plates, stucco inside and flat outside</v>
      </c>
    </row>
    <row r="5" spans="1:3" x14ac:dyDescent="0.25">
      <c r="A5" t="s">
        <v>496</v>
      </c>
      <c r="B5" t="s">
        <v>255</v>
      </c>
      <c r="C5" t="str">
        <f>languages!$B$51</f>
        <v>20mm nikecell covered by 0.8mm alu plates, flat inside and stucco outside</v>
      </c>
    </row>
  </sheetData>
  <sheetProtection algorithmName="SHA-512" hashValue="FyucuknoueXlIQdLOawxZqrekVwimKuXR5kv0OE5FoOUUcnkbH3PX125/mpBsqFxix/V12grOHSo0ngxj90QVA==" saltValue="sEavALz2yAWyUnYoUczZoQ==" spinCount="100000" sheet="1" selectLockedCells="1" selectUnlockedCell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4"/>
  <dimension ref="A1:D5"/>
  <sheetViews>
    <sheetView workbookViewId="0"/>
  </sheetViews>
  <sheetFormatPr defaultRowHeight="15" x14ac:dyDescent="0.25"/>
  <cols>
    <col min="2" max="2" width="21" customWidth="1"/>
    <col min="3" max="3" width="16.7109375" bestFit="1" customWidth="1"/>
    <col min="4" max="4" width="17.28515625" bestFit="1" customWidth="1"/>
  </cols>
  <sheetData>
    <row r="1" spans="1:4" x14ac:dyDescent="0.25">
      <c r="A1" t="s">
        <v>16</v>
      </c>
      <c r="B1" t="s">
        <v>503</v>
      </c>
      <c r="C1" t="s">
        <v>507</v>
      </c>
      <c r="D1" t="s">
        <v>508</v>
      </c>
    </row>
    <row r="2" spans="1:4" x14ac:dyDescent="0.25">
      <c r="A2">
        <v>1</v>
      </c>
      <c r="B2" t="s">
        <v>509</v>
      </c>
    </row>
    <row r="3" spans="1:4" x14ac:dyDescent="0.25">
      <c r="A3">
        <v>2</v>
      </c>
      <c r="B3" t="s">
        <v>504</v>
      </c>
      <c r="C3">
        <v>825</v>
      </c>
      <c r="D3">
        <v>910</v>
      </c>
    </row>
    <row r="4" spans="1:4" x14ac:dyDescent="0.25">
      <c r="A4">
        <v>3</v>
      </c>
      <c r="B4" t="s">
        <v>505</v>
      </c>
      <c r="C4">
        <v>869</v>
      </c>
      <c r="D4">
        <v>977</v>
      </c>
    </row>
    <row r="5" spans="1:4" x14ac:dyDescent="0.25">
      <c r="A5">
        <v>4</v>
      </c>
      <c r="B5" t="s">
        <v>506</v>
      </c>
    </row>
  </sheetData>
  <sheetProtection algorithmName="SHA-512" hashValue="xwolodBE0CjImO7OdZyvPzClHHrTNXAHlKyKViga83++vtbgVBBs7C4MwhVPgbPwgnuLwP9AhV+6OSCGNFfkvg==" saltValue="di0pw61paqrR5ITHr5SdC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Munka2">
    <tabColor rgb="FFC00000"/>
  </sheetPr>
  <dimension ref="B1:BB58"/>
  <sheetViews>
    <sheetView zoomScaleNormal="100" workbookViewId="0">
      <selection activeCell="C57" sqref="C57"/>
    </sheetView>
  </sheetViews>
  <sheetFormatPr defaultRowHeight="15" x14ac:dyDescent="0.25"/>
  <cols>
    <col min="1" max="1" width="1.7109375" style="1" customWidth="1"/>
    <col min="2" max="2" width="1" style="1" customWidth="1"/>
    <col min="3" max="3" width="27" style="1" customWidth="1"/>
    <col min="4" max="4" width="16.28515625" style="1" customWidth="1"/>
    <col min="5" max="5" width="12.28515625" style="1" customWidth="1"/>
    <col min="6" max="6" width="9.7109375" style="1" customWidth="1"/>
    <col min="7" max="7" width="6.7109375" style="1" customWidth="1"/>
    <col min="8" max="8" width="10.28515625" style="1" customWidth="1"/>
    <col min="9" max="11" width="12.28515625" style="1" customWidth="1"/>
    <col min="12" max="12" width="1" style="1" customWidth="1"/>
    <col min="13" max="14" width="1.7109375" style="1" customWidth="1"/>
    <col min="15" max="15" width="1" style="1" customWidth="1"/>
    <col min="16" max="16" width="27" style="1" customWidth="1"/>
    <col min="17" max="17" width="16.28515625" style="1" customWidth="1"/>
    <col min="18" max="18" width="12.28515625" style="1" customWidth="1"/>
    <col min="19" max="19" width="9.7109375" style="1" customWidth="1"/>
    <col min="20" max="20" width="6.7109375" style="1" customWidth="1"/>
    <col min="21" max="21" width="10.28515625" style="1" customWidth="1"/>
    <col min="22" max="24" width="12.28515625" style="1" customWidth="1"/>
    <col min="25" max="25" width="1" style="1" customWidth="1"/>
    <col min="26" max="27" width="1.7109375" style="1" customWidth="1"/>
    <col min="28" max="28" width="1" style="1" customWidth="1"/>
    <col min="29" max="29" width="27" style="1" customWidth="1"/>
    <col min="30" max="30" width="16.28515625" style="1" customWidth="1"/>
    <col min="31" max="31" width="12.28515625" style="1" customWidth="1"/>
    <col min="32" max="32" width="9.7109375" style="1" customWidth="1"/>
    <col min="33" max="33" width="6.7109375" style="1" customWidth="1"/>
    <col min="34" max="34" width="10.28515625" style="1" customWidth="1"/>
    <col min="35" max="37" width="12.28515625" style="1" customWidth="1"/>
    <col min="38" max="38" width="1" style="1" customWidth="1"/>
    <col min="39" max="39" width="1.7109375" style="1" customWidth="1"/>
    <col min="40" max="40" width="7" style="1" bestFit="1" customWidth="1"/>
    <col min="41" max="41" width="9.7109375" style="1" bestFit="1" customWidth="1"/>
    <col min="42" max="42" width="19.28515625" style="1" bestFit="1" customWidth="1"/>
    <col min="43" max="43" width="19" style="1" bestFit="1" customWidth="1"/>
    <col min="44" max="44" width="15.7109375" style="1" bestFit="1" customWidth="1"/>
    <col min="45" max="45" width="7" style="1" bestFit="1" customWidth="1"/>
    <col min="46" max="46" width="9.7109375" style="1" bestFit="1" customWidth="1"/>
    <col min="47" max="47" width="19.28515625" style="1" bestFit="1" customWidth="1"/>
    <col min="48" max="48" width="19" style="1" bestFit="1" customWidth="1"/>
    <col min="49" max="49" width="15.7109375" style="1" bestFit="1" customWidth="1"/>
    <col min="50" max="50" width="7" style="1" bestFit="1" customWidth="1"/>
    <col min="51" max="51" width="9.7109375" style="1" bestFit="1" customWidth="1"/>
    <col min="52" max="52" width="19.28515625" style="1" bestFit="1" customWidth="1"/>
    <col min="53" max="53" width="19" style="1" bestFit="1" customWidth="1"/>
    <col min="54" max="54" width="15.7109375" style="1" bestFit="1" customWidth="1"/>
    <col min="55" max="16384" width="9.140625" style="1"/>
  </cols>
  <sheetData>
    <row r="1" spans="2:54" ht="15.75" thickBot="1" x14ac:dyDescent="0.3"/>
    <row r="2" spans="2:54" ht="6" customHeight="1" thickBot="1" x14ac:dyDescent="0.3">
      <c r="B2" s="2"/>
      <c r="C2" s="3"/>
      <c r="D2" s="3"/>
      <c r="E2" s="3"/>
      <c r="F2" s="3"/>
      <c r="G2" s="3"/>
      <c r="H2" s="3"/>
      <c r="I2" s="3"/>
      <c r="J2" s="3"/>
      <c r="K2" s="3"/>
      <c r="L2" s="4"/>
      <c r="O2" s="5"/>
      <c r="P2" s="6"/>
      <c r="Q2" s="6"/>
      <c r="R2" s="6"/>
      <c r="S2" s="6"/>
      <c r="T2" s="6"/>
      <c r="U2" s="6"/>
      <c r="V2" s="6"/>
      <c r="W2" s="6"/>
      <c r="X2" s="6"/>
      <c r="Y2" s="7"/>
      <c r="AB2" s="2"/>
      <c r="AC2" s="3"/>
      <c r="AD2" s="3"/>
      <c r="AE2" s="3"/>
      <c r="AF2" s="3"/>
      <c r="AG2" s="3"/>
      <c r="AH2" s="3"/>
      <c r="AI2" s="3"/>
      <c r="AJ2" s="3"/>
      <c r="AK2" s="3"/>
      <c r="AL2" s="4"/>
    </row>
    <row r="3" spans="2:54" ht="18.75" x14ac:dyDescent="0.3">
      <c r="B3" s="8"/>
      <c r="C3" s="9" t="s">
        <v>126</v>
      </c>
      <c r="D3" s="10"/>
      <c r="E3" s="10"/>
      <c r="F3" s="10"/>
      <c r="G3" s="10"/>
      <c r="H3" s="10"/>
      <c r="I3" s="10"/>
      <c r="J3" s="10"/>
      <c r="K3" s="11"/>
      <c r="L3" s="12"/>
      <c r="O3" s="13"/>
      <c r="P3" s="14" t="s">
        <v>129</v>
      </c>
      <c r="Q3" s="15"/>
      <c r="R3" s="15"/>
      <c r="S3" s="15"/>
      <c r="T3" s="15"/>
      <c r="U3" s="15"/>
      <c r="V3" s="15"/>
      <c r="W3" s="15"/>
      <c r="X3" s="16"/>
      <c r="Y3" s="17"/>
      <c r="AB3" s="8"/>
      <c r="AC3" s="9" t="s">
        <v>130</v>
      </c>
      <c r="AD3" s="10"/>
      <c r="AE3" s="10"/>
      <c r="AF3" s="10"/>
      <c r="AG3" s="10"/>
      <c r="AH3" s="10"/>
      <c r="AI3" s="10"/>
      <c r="AJ3" s="10"/>
      <c r="AK3" s="11"/>
      <c r="AL3" s="12"/>
      <c r="AN3" s="235" t="s">
        <v>265</v>
      </c>
      <c r="AO3" s="236"/>
      <c r="AP3" s="236"/>
      <c r="AQ3" s="236"/>
      <c r="AR3" s="237"/>
      <c r="AS3" s="235" t="s">
        <v>266</v>
      </c>
      <c r="AT3" s="236"/>
      <c r="AU3" s="236"/>
      <c r="AV3" s="236"/>
      <c r="AW3" s="237"/>
      <c r="AX3" s="235" t="s">
        <v>267</v>
      </c>
      <c r="AY3" s="236"/>
      <c r="AZ3" s="236"/>
      <c r="BA3" s="236"/>
      <c r="BB3" s="237"/>
    </row>
    <row r="4" spans="2:54" ht="6" customHeight="1" x14ac:dyDescent="0.25">
      <c r="B4" s="8"/>
      <c r="C4" s="18"/>
      <c r="D4" s="18"/>
      <c r="E4" s="18"/>
      <c r="F4" s="18"/>
      <c r="G4" s="18"/>
      <c r="H4" s="18"/>
      <c r="I4" s="18"/>
      <c r="J4" s="18"/>
      <c r="K4" s="18"/>
      <c r="L4" s="12"/>
      <c r="O4" s="13"/>
      <c r="P4" s="19"/>
      <c r="Q4" s="19"/>
      <c r="R4" s="19"/>
      <c r="S4" s="19"/>
      <c r="T4" s="19"/>
      <c r="U4" s="19"/>
      <c r="V4" s="19"/>
      <c r="W4" s="19"/>
      <c r="X4" s="19"/>
      <c r="Y4" s="17"/>
      <c r="AB4" s="8"/>
      <c r="AC4" s="18"/>
      <c r="AD4" s="18"/>
      <c r="AE4" s="18"/>
      <c r="AF4" s="18"/>
      <c r="AG4" s="18"/>
      <c r="AH4" s="18"/>
      <c r="AI4" s="18"/>
      <c r="AJ4" s="18"/>
      <c r="AK4" s="18"/>
      <c r="AL4" s="12"/>
      <c r="AN4" s="138"/>
      <c r="AR4" s="167"/>
      <c r="AS4" s="138"/>
      <c r="AW4" s="167"/>
      <c r="AX4" s="138"/>
      <c r="BB4" s="167"/>
    </row>
    <row r="5" spans="2:54" ht="17.25" x14ac:dyDescent="0.25">
      <c r="B5" s="8"/>
      <c r="C5" s="20" t="s">
        <v>87</v>
      </c>
      <c r="D5" s="20" t="s">
        <v>23</v>
      </c>
      <c r="E5" s="20" t="s">
        <v>88</v>
      </c>
      <c r="F5" s="20" t="s">
        <v>85</v>
      </c>
      <c r="G5" s="20" t="s">
        <v>105</v>
      </c>
      <c r="H5" s="20" t="s">
        <v>281</v>
      </c>
      <c r="I5" s="20" t="s">
        <v>128</v>
      </c>
      <c r="J5" s="20" t="s">
        <v>146</v>
      </c>
      <c r="K5" s="20" t="s">
        <v>282</v>
      </c>
      <c r="L5" s="12"/>
      <c r="O5" s="13"/>
      <c r="P5" s="21" t="s">
        <v>87</v>
      </c>
      <c r="Q5" s="21" t="s">
        <v>23</v>
      </c>
      <c r="R5" s="21" t="s">
        <v>88</v>
      </c>
      <c r="S5" s="21" t="s">
        <v>85</v>
      </c>
      <c r="T5" s="21" t="s">
        <v>105</v>
      </c>
      <c r="U5" s="21" t="s">
        <v>281</v>
      </c>
      <c r="V5" s="21" t="s">
        <v>128</v>
      </c>
      <c r="W5" s="21" t="s">
        <v>145</v>
      </c>
      <c r="X5" s="21" t="s">
        <v>282</v>
      </c>
      <c r="Y5" s="17"/>
      <c r="AB5" s="8"/>
      <c r="AC5" s="20" t="s">
        <v>87</v>
      </c>
      <c r="AD5" s="20" t="s">
        <v>23</v>
      </c>
      <c r="AE5" s="20" t="s">
        <v>88</v>
      </c>
      <c r="AF5" s="20" t="s">
        <v>85</v>
      </c>
      <c r="AG5" s="20" t="s">
        <v>105</v>
      </c>
      <c r="AH5" s="20" t="s">
        <v>281</v>
      </c>
      <c r="AI5" s="20" t="s">
        <v>128</v>
      </c>
      <c r="AJ5" s="20" t="s">
        <v>145</v>
      </c>
      <c r="AK5" s="20" t="s">
        <v>282</v>
      </c>
      <c r="AL5" s="12"/>
      <c r="AN5" s="238" t="s">
        <v>264</v>
      </c>
      <c r="AO5" s="231" t="s">
        <v>268</v>
      </c>
      <c r="AP5" s="231" t="s">
        <v>269</v>
      </c>
      <c r="AQ5" s="231" t="s">
        <v>270</v>
      </c>
      <c r="AR5" s="239" t="s">
        <v>271</v>
      </c>
      <c r="AS5" s="238" t="s">
        <v>264</v>
      </c>
      <c r="AT5" s="231" t="s">
        <v>268</v>
      </c>
      <c r="AU5" s="231" t="s">
        <v>269</v>
      </c>
      <c r="AV5" s="231" t="s">
        <v>270</v>
      </c>
      <c r="AW5" s="239" t="s">
        <v>271</v>
      </c>
      <c r="AX5" s="238" t="s">
        <v>264</v>
      </c>
      <c r="AY5" s="231" t="s">
        <v>268</v>
      </c>
      <c r="AZ5" s="231" t="s">
        <v>269</v>
      </c>
      <c r="BA5" s="231" t="s">
        <v>270</v>
      </c>
      <c r="BB5" s="239" t="s">
        <v>271</v>
      </c>
    </row>
    <row r="6" spans="2:54" ht="15" customHeight="1" x14ac:dyDescent="0.25">
      <c r="B6" s="8"/>
      <c r="C6" s="22" t="s">
        <v>52</v>
      </c>
      <c r="D6" s="22" t="str">
        <f>staging!C2</f>
        <v>PL-QUINNSAN-20</v>
      </c>
      <c r="E6" s="23">
        <f>SUMIFS(staging!$I:$I,staging!$A:$A,"Top",staging!$C:$C,'price calculation'!D6)</f>
        <v>0</v>
      </c>
      <c r="F6" s="22" t="s">
        <v>80</v>
      </c>
      <c r="G6" s="24">
        <v>0.25</v>
      </c>
      <c r="H6" s="25">
        <f>IF(D6="OTHER",0,VLOOKUP(D6,mat!$A:$B,2,0))</f>
        <v>20.161691176470587</v>
      </c>
      <c r="I6" s="23">
        <f>IF(D6="OTHER",IF(OR('order form'!$J25=0,'order form'!D41),0,'order form'!$D25*'order form'!$D83*'order form'!$E83*'order form'!$G83/1000000/'order form'!$J25/'order form'!$K10)*'order form'!$D29,VLOOKUP(D6,mat!$A:$C,3,0)*E6)</f>
        <v>0</v>
      </c>
      <c r="J6" s="23"/>
      <c r="K6" s="25">
        <f>E6*H6*(1+G6)</f>
        <v>0</v>
      </c>
      <c r="L6" s="12"/>
      <c r="O6" s="13"/>
      <c r="P6" s="26" t="s">
        <v>52</v>
      </c>
      <c r="Q6" s="26" t="str">
        <f>staging!C27</f>
        <v>PL-QUINNSAN-20</v>
      </c>
      <c r="R6" s="27">
        <f>SUMIFS(staging!$I:$I,staging!$A:$A,"Intermediate",staging!$C:$C,'price calculation'!Q6)</f>
        <v>0</v>
      </c>
      <c r="S6" s="26" t="s">
        <v>249</v>
      </c>
      <c r="T6" s="28">
        <v>0.25</v>
      </c>
      <c r="U6" s="29">
        <f>IF(Q6="OTHER",0,VLOOKUP(Q6,mat!$A:$B,2,0))</f>
        <v>20.161691176470587</v>
      </c>
      <c r="V6" s="27">
        <f>IF(Q6="OTHER",IF(OR('order form'!$J27=0,'order form'!F41),0,'order form'!$D25*'order form'!$D84*'order form'!$E84*'order form'!$G84/1000000/'order form'!$J27/'order form'!$K10)*'order form'!$D29,VLOOKUP(Q6,mat!$A:$C,3,0)*R6)</f>
        <v>0</v>
      </c>
      <c r="W6" s="27"/>
      <c r="X6" s="29">
        <f>R6*U6*(1+T6)</f>
        <v>0</v>
      </c>
      <c r="Y6" s="17"/>
      <c r="AB6" s="8"/>
      <c r="AC6" s="22" t="s">
        <v>52</v>
      </c>
      <c r="AD6" s="22" t="str">
        <f>staging!C74</f>
        <v>PL-QUINNSAN-20</v>
      </c>
      <c r="AE6" s="23">
        <f>SUMIFS(staging!$I:$I,staging!$A:$A,"Bottom",staging!$C:$C,'price calculation'!AD6)</f>
        <v>0</v>
      </c>
      <c r="AF6" s="22" t="s">
        <v>249</v>
      </c>
      <c r="AG6" s="24">
        <v>0.25</v>
      </c>
      <c r="AH6" s="25">
        <f>IF(AD6="OTHER",0,VLOOKUP(AD6,mat!$A:$B,2,0))</f>
        <v>20.161691176470587</v>
      </c>
      <c r="AI6" s="23">
        <f>IF(AD6="OTHER",IF(OR('order form'!$J29=0,'order form'!J41),0,'order form'!$D25*'order form'!$D87*'order form'!$E87*'order form'!$G87/1000000/'order form'!$J29/'order form'!$K10)*'order form'!$D29,VLOOKUP(AD6,mat!$A:$C,3,0)*AE6)</f>
        <v>0</v>
      </c>
      <c r="AJ6" s="23"/>
      <c r="AK6" s="25">
        <f>AE6*AH6*(1+AG6)</f>
        <v>0</v>
      </c>
      <c r="AL6" s="12"/>
      <c r="AN6" s="240"/>
      <c r="AO6" s="241"/>
      <c r="AP6" s="241"/>
      <c r="AQ6" s="241"/>
      <c r="AR6" s="242"/>
      <c r="AS6" s="240"/>
      <c r="AT6" s="241"/>
      <c r="AU6" s="241"/>
      <c r="AV6" s="241"/>
      <c r="AW6" s="242"/>
      <c r="AX6" s="240"/>
      <c r="AY6" s="241"/>
      <c r="AZ6" s="241"/>
      <c r="BA6" s="241"/>
      <c r="BB6" s="242"/>
    </row>
    <row r="7" spans="2:54" x14ac:dyDescent="0.25">
      <c r="B7" s="8"/>
      <c r="C7" s="30" t="s">
        <v>53</v>
      </c>
      <c r="D7" s="30" t="str">
        <f>staging!C3</f>
        <v>APE1000</v>
      </c>
      <c r="E7" s="31">
        <f>SUMIFS(staging!$I:$I,staging!$A:$A,"Top",staging!$C:$C,'price calculation'!D7)</f>
        <v>0</v>
      </c>
      <c r="F7" s="30" t="s">
        <v>81</v>
      </c>
      <c r="G7" s="32">
        <v>7.0000000000000007E-2</v>
      </c>
      <c r="H7" s="33">
        <f>VLOOKUP(D7,mat!$A:$B,2,0)</f>
        <v>3.1565539215686269</v>
      </c>
      <c r="I7" s="31">
        <f>VLOOKUP(D7,mat!$A:$C,3,0)*E7</f>
        <v>0</v>
      </c>
      <c r="J7" s="31">
        <f>IF('order form'!$D$16&gt;1,1,0)*VLOOKUP(D7,mat!$A:$D,4,0)*E7</f>
        <v>0</v>
      </c>
      <c r="K7" s="33">
        <f t="shared" ref="K7:K22" si="0">E7*H7*(1+G7)</f>
        <v>0</v>
      </c>
      <c r="L7" s="12"/>
      <c r="O7" s="13"/>
      <c r="P7" s="34" t="s">
        <v>53</v>
      </c>
      <c r="Q7" s="34" t="str">
        <f>staging!C30</f>
        <v>APE1000</v>
      </c>
      <c r="R7" s="35">
        <f>SUMIFS(staging!$I:$I,staging!$A:$A,"Intermediate",staging!$C:$C,'price calculation'!Q7)</f>
        <v>0</v>
      </c>
      <c r="S7" s="34" t="s">
        <v>81</v>
      </c>
      <c r="T7" s="36">
        <v>7.0000000000000007E-2</v>
      </c>
      <c r="U7" s="37">
        <f>VLOOKUP(Q7,mat!$A:$B,2,0)</f>
        <v>3.1565539215686269</v>
      </c>
      <c r="V7" s="35">
        <f>VLOOKUP(Q7,mat!$A:$C,3,0)*R7</f>
        <v>0</v>
      </c>
      <c r="W7" s="35">
        <f>IF('order form'!$D$16&gt;1,1,0)*VLOOKUP(Q7,mat!$A:$D,4,0)*R7</f>
        <v>0</v>
      </c>
      <c r="X7" s="37">
        <f t="shared" ref="X7:X22" si="1">R7*U7*(1+T7)</f>
        <v>0</v>
      </c>
      <c r="Y7" s="17"/>
      <c r="AB7" s="8"/>
      <c r="AC7" s="30" t="s">
        <v>53</v>
      </c>
      <c r="AD7" s="30" t="str">
        <f>staging!C75</f>
        <v>APE1000</v>
      </c>
      <c r="AE7" s="31">
        <f>SUMIFS(staging!$I:$I,staging!$A:$A,"Bottom",staging!$C:$C,'price calculation'!AD7)</f>
        <v>0</v>
      </c>
      <c r="AF7" s="30" t="s">
        <v>81</v>
      </c>
      <c r="AG7" s="32">
        <v>7.0000000000000007E-2</v>
      </c>
      <c r="AH7" s="33">
        <f>VLOOKUP(AD7,mat!$A:$B,2,0)</f>
        <v>3.1565539215686269</v>
      </c>
      <c r="AI7" s="31">
        <f>VLOOKUP(AD7,mat!$A:$C,3,0)*AE7</f>
        <v>0</v>
      </c>
      <c r="AJ7" s="31">
        <f>IF('order form'!$D$16&gt;1,1,0)*VLOOKUP(AD7,mat!$A:$D,4,0)*AE7</f>
        <v>0</v>
      </c>
      <c r="AK7" s="33">
        <f t="shared" ref="AK7:AK21" si="2">AE7*AH7*(1+AG7)</f>
        <v>0</v>
      </c>
      <c r="AL7" s="12"/>
      <c r="AN7" s="243">
        <f>IF(J7&gt;0,1,0)</f>
        <v>0</v>
      </c>
      <c r="AO7" s="233">
        <f>VLOOKUP(D7,mat!A:D,4,0)*AN7</f>
        <v>0</v>
      </c>
      <c r="AP7" s="234">
        <f>E7</f>
        <v>0</v>
      </c>
      <c r="AQ7" s="232">
        <f>'order form'!J$25*'order form'!K$10</f>
        <v>0</v>
      </c>
      <c r="AR7" s="244">
        <f>AO7*AP7*AQ7</f>
        <v>0</v>
      </c>
      <c r="AS7" s="243">
        <f>IF(W7&gt;0,1,0)</f>
        <v>0</v>
      </c>
      <c r="AT7" s="233">
        <f>VLOOKUP(Q7,mat!A:D,4,0)*AS7</f>
        <v>0</v>
      </c>
      <c r="AU7" s="234">
        <f>R7</f>
        <v>0</v>
      </c>
      <c r="AV7" s="232">
        <f>'order form'!J$27*'order form'!K$10</f>
        <v>0</v>
      </c>
      <c r="AW7" s="244">
        <f>AT7*AU7*AV7</f>
        <v>0</v>
      </c>
      <c r="AX7" s="243">
        <f>IF(AJ7&gt;0,1,0)</f>
        <v>0</v>
      </c>
      <c r="AY7" s="233">
        <f>VLOOKUP(AD7,mat!A:D,4,0)*AX7</f>
        <v>0</v>
      </c>
      <c r="AZ7" s="234">
        <f>AE7</f>
        <v>0</v>
      </c>
      <c r="BA7" s="232">
        <f>'order form'!J$29*'order form'!K$10</f>
        <v>0</v>
      </c>
      <c r="BB7" s="244">
        <f>AY7*AZ7*BA7</f>
        <v>0</v>
      </c>
    </row>
    <row r="8" spans="2:54" x14ac:dyDescent="0.25">
      <c r="B8" s="8"/>
      <c r="C8" s="30" t="s">
        <v>56</v>
      </c>
      <c r="D8" s="30" t="str">
        <f>staging!C5</f>
        <v>ARE</v>
      </c>
      <c r="E8" s="31">
        <f>SUMIFS(staging!$I:$I,staging!$A:$A,"Top",staging!$C:$C,'price calculation'!D8)</f>
        <v>0</v>
      </c>
      <c r="F8" s="30" t="s">
        <v>81</v>
      </c>
      <c r="G8" s="32">
        <v>0</v>
      </c>
      <c r="H8" s="33">
        <f>VLOOKUP(D8,mat!$A:$B,2,0)</f>
        <v>1.0314607843137253</v>
      </c>
      <c r="I8" s="31">
        <f>VLOOKUP(D8,mat!$A:$C,3,0)*E8</f>
        <v>0</v>
      </c>
      <c r="J8" s="31"/>
      <c r="K8" s="33">
        <f t="shared" si="0"/>
        <v>0</v>
      </c>
      <c r="L8" s="12"/>
      <c r="O8" s="13"/>
      <c r="P8" s="34" t="s">
        <v>56</v>
      </c>
      <c r="Q8" s="34" t="str">
        <f>staging!C34</f>
        <v>ARE</v>
      </c>
      <c r="R8" s="35">
        <f>SUMIFS(staging!$I:$I,staging!$A:$A,"Intermediate",staging!$C:$C,'price calculation'!Q8)</f>
        <v>0</v>
      </c>
      <c r="S8" s="34" t="s">
        <v>81</v>
      </c>
      <c r="T8" s="36">
        <v>0</v>
      </c>
      <c r="U8" s="37">
        <f>VLOOKUP(Q8,mat!$A:$B,2,0)</f>
        <v>1.0314607843137253</v>
      </c>
      <c r="V8" s="35">
        <f>VLOOKUP(Q8,mat!$A:$C,3,0)*R8</f>
        <v>0</v>
      </c>
      <c r="W8" s="35"/>
      <c r="X8" s="37">
        <f t="shared" si="1"/>
        <v>0</v>
      </c>
      <c r="Y8" s="17"/>
      <c r="AB8" s="8"/>
      <c r="AC8" s="30" t="s">
        <v>56</v>
      </c>
      <c r="AD8" s="30" t="str">
        <f>staging!C77</f>
        <v>ARE</v>
      </c>
      <c r="AE8" s="31">
        <f>SUMIFS(staging!$I:$I,staging!$A:$A,"Bottom",staging!$C:$C,'price calculation'!AD8)</f>
        <v>0</v>
      </c>
      <c r="AF8" s="30" t="s">
        <v>81</v>
      </c>
      <c r="AG8" s="32">
        <v>0</v>
      </c>
      <c r="AH8" s="33">
        <f>VLOOKUP(AD8,mat!$A:$B,2,0)</f>
        <v>1.0314607843137253</v>
      </c>
      <c r="AI8" s="31">
        <f>VLOOKUP(AD8,mat!$A:$C,3,0)*AE8</f>
        <v>0</v>
      </c>
      <c r="AJ8" s="31"/>
      <c r="AK8" s="33">
        <f t="shared" si="2"/>
        <v>0</v>
      </c>
      <c r="AL8" s="12"/>
      <c r="AN8" s="243"/>
      <c r="AO8" s="232"/>
      <c r="AP8" s="234"/>
      <c r="AQ8" s="232"/>
      <c r="AR8" s="245"/>
      <c r="AS8" s="243"/>
      <c r="AT8" s="232"/>
      <c r="AU8" s="234"/>
      <c r="AV8" s="232"/>
      <c r="AW8" s="245"/>
      <c r="AX8" s="243"/>
      <c r="AY8" s="232"/>
      <c r="AZ8" s="234"/>
      <c r="BA8" s="232"/>
      <c r="BB8" s="245"/>
    </row>
    <row r="9" spans="2:54" x14ac:dyDescent="0.25">
      <c r="B9" s="8"/>
      <c r="C9" s="30" t="s">
        <v>55</v>
      </c>
      <c r="D9" s="30" t="str">
        <f>staging!C7</f>
        <v>ADH-IT-16-B</v>
      </c>
      <c r="E9" s="31">
        <f>SUMIFS(staging!$I:$I,staging!$A:$A,"Top",staging!$C:$C,'price calculation'!D9)</f>
        <v>0</v>
      </c>
      <c r="F9" s="30" t="s">
        <v>81</v>
      </c>
      <c r="G9" s="32">
        <v>0.05</v>
      </c>
      <c r="H9" s="33">
        <f>VLOOKUP(D9,mat!$A:$B,2,0)</f>
        <v>0.47744791666666664</v>
      </c>
      <c r="I9" s="31">
        <f>VLOOKUP(D9,mat!$A:$C,3,0)*E9</f>
        <v>0</v>
      </c>
      <c r="J9" s="31"/>
      <c r="K9" s="33">
        <f t="shared" si="0"/>
        <v>0</v>
      </c>
      <c r="L9" s="12"/>
      <c r="O9" s="13"/>
      <c r="P9" s="34" t="s">
        <v>55</v>
      </c>
      <c r="Q9" s="34" t="str">
        <f>staging!C38</f>
        <v>ADH-IT-16-B</v>
      </c>
      <c r="R9" s="35">
        <f>SUMIFS(staging!$I:$I,staging!$A:$A,"Intermediate",staging!$C:$C,'price calculation'!Q9)</f>
        <v>0</v>
      </c>
      <c r="S9" s="34" t="s">
        <v>81</v>
      </c>
      <c r="T9" s="36">
        <v>0.05</v>
      </c>
      <c r="U9" s="37">
        <f>VLOOKUP(Q9,mat!$A:$B,2,0)</f>
        <v>0.47744791666666664</v>
      </c>
      <c r="V9" s="35">
        <f>VLOOKUP(Q9,mat!$A:$C,3,0)*R9</f>
        <v>0</v>
      </c>
      <c r="W9" s="35"/>
      <c r="X9" s="37">
        <f t="shared" si="1"/>
        <v>0</v>
      </c>
      <c r="Y9" s="17"/>
      <c r="AB9" s="8"/>
      <c r="AC9" s="30" t="s">
        <v>55</v>
      </c>
      <c r="AD9" s="30" t="str">
        <f>staging!C79</f>
        <v>ADH-IT-16-B</v>
      </c>
      <c r="AE9" s="31">
        <f>SUMIFS(staging!$I:$I,staging!$A:$A,"Bottom",staging!$C:$C,'price calculation'!AD9)</f>
        <v>0</v>
      </c>
      <c r="AF9" s="30" t="s">
        <v>81</v>
      </c>
      <c r="AG9" s="32">
        <v>0.05</v>
      </c>
      <c r="AH9" s="33">
        <f>VLOOKUP(AD9,mat!$A:$B,2,0)</f>
        <v>0.47744791666666664</v>
      </c>
      <c r="AI9" s="31">
        <f>VLOOKUP(AD9,mat!$A:$C,3,0)*AE9</f>
        <v>0</v>
      </c>
      <c r="AJ9" s="31"/>
      <c r="AK9" s="33">
        <f t="shared" si="2"/>
        <v>0</v>
      </c>
      <c r="AL9" s="12"/>
      <c r="AN9" s="243"/>
      <c r="AO9" s="232"/>
      <c r="AP9" s="234"/>
      <c r="AQ9" s="232"/>
      <c r="AR9" s="245"/>
      <c r="AS9" s="243"/>
      <c r="AT9" s="232"/>
      <c r="AU9" s="234"/>
      <c r="AV9" s="232"/>
      <c r="AW9" s="245"/>
      <c r="AX9" s="243"/>
      <c r="AY9" s="232"/>
      <c r="AZ9" s="234"/>
      <c r="BA9" s="232"/>
      <c r="BB9" s="245"/>
    </row>
    <row r="10" spans="2:54" x14ac:dyDescent="0.25">
      <c r="B10" s="8"/>
      <c r="C10" s="30" t="s">
        <v>82</v>
      </c>
      <c r="D10" s="30" t="str">
        <f>staging!C9</f>
        <v>ABUT</v>
      </c>
      <c r="E10" s="31">
        <f>SUMIFS(staging!$I:$I,staging!$A:$A,"Top",staging!$C:$C,'price calculation'!D10)</f>
        <v>0</v>
      </c>
      <c r="F10" s="30" t="s">
        <v>81</v>
      </c>
      <c r="G10" s="32">
        <v>0</v>
      </c>
      <c r="H10" s="33">
        <f>VLOOKUP(D10,mat!$A:$B,2,0)</f>
        <v>8.6832720588235282E-2</v>
      </c>
      <c r="I10" s="31">
        <f>VLOOKUP(D10,mat!$A:$C,3,0)*E10</f>
        <v>0</v>
      </c>
      <c r="J10" s="31"/>
      <c r="K10" s="33">
        <f t="shared" si="0"/>
        <v>0</v>
      </c>
      <c r="L10" s="12"/>
      <c r="O10" s="13"/>
      <c r="P10" s="34" t="s">
        <v>82</v>
      </c>
      <c r="Q10" s="34" t="str">
        <f>staging!C42</f>
        <v>ABUT</v>
      </c>
      <c r="R10" s="35">
        <f>SUMIFS(staging!$I:$I,staging!$A:$A,"Intermediate",staging!$C:$C,'price calculation'!Q10)</f>
        <v>0</v>
      </c>
      <c r="S10" s="34" t="s">
        <v>81</v>
      </c>
      <c r="T10" s="36">
        <v>0</v>
      </c>
      <c r="U10" s="37">
        <f>VLOOKUP(Q10,mat!$A:$B,2,0)</f>
        <v>8.6832720588235282E-2</v>
      </c>
      <c r="V10" s="35">
        <f>VLOOKUP(Q10,mat!$A:$C,3,0)*R10</f>
        <v>0</v>
      </c>
      <c r="W10" s="35"/>
      <c r="X10" s="37">
        <f t="shared" si="1"/>
        <v>0</v>
      </c>
      <c r="Y10" s="17"/>
      <c r="AB10" s="8"/>
      <c r="AC10" s="30" t="s">
        <v>82</v>
      </c>
      <c r="AD10" s="30" t="str">
        <f>staging!C81</f>
        <v>ABUT</v>
      </c>
      <c r="AE10" s="31">
        <f>SUMIFS(staging!$I:$I,staging!$A:$A,"Bottom",staging!$C:$C,'price calculation'!AD10)</f>
        <v>0</v>
      </c>
      <c r="AF10" s="30" t="s">
        <v>81</v>
      </c>
      <c r="AG10" s="32">
        <v>0</v>
      </c>
      <c r="AH10" s="33">
        <f>VLOOKUP(AD10,mat!$A:$B,2,0)</f>
        <v>8.6832720588235282E-2</v>
      </c>
      <c r="AI10" s="31">
        <f>VLOOKUP(AD10,mat!$A:$C,3,0)*AE10</f>
        <v>0</v>
      </c>
      <c r="AJ10" s="31"/>
      <c r="AK10" s="33">
        <f t="shared" si="2"/>
        <v>0</v>
      </c>
      <c r="AL10" s="12"/>
      <c r="AN10" s="243"/>
      <c r="AO10" s="232"/>
      <c r="AP10" s="234"/>
      <c r="AQ10" s="232"/>
      <c r="AR10" s="245"/>
      <c r="AS10" s="243"/>
      <c r="AT10" s="232"/>
      <c r="AU10" s="234"/>
      <c r="AV10" s="232"/>
      <c r="AW10" s="245"/>
      <c r="AX10" s="243"/>
      <c r="AY10" s="232"/>
      <c r="AZ10" s="234"/>
      <c r="BA10" s="232"/>
      <c r="BB10" s="245"/>
    </row>
    <row r="11" spans="2:54" x14ac:dyDescent="0.25">
      <c r="B11" s="8"/>
      <c r="C11" s="30" t="s">
        <v>54</v>
      </c>
      <c r="D11" s="30" t="str">
        <f>staging!C11</f>
        <v>ADH-COR155</v>
      </c>
      <c r="E11" s="31">
        <f>SUMIFS(staging!$I:$I,staging!$A:$A,"Top",staging!$C:$C,'price calculation'!D11)</f>
        <v>0</v>
      </c>
      <c r="F11" s="30" t="s">
        <v>83</v>
      </c>
      <c r="G11" s="32">
        <v>0</v>
      </c>
      <c r="H11" s="33">
        <f>VLOOKUP(D11,mat!$A:$B,2,0)</f>
        <v>2.371323529411765E-2</v>
      </c>
      <c r="I11" s="31">
        <f>VLOOKUP(D11,mat!$A:$C,3,0)*E11</f>
        <v>0</v>
      </c>
      <c r="J11" s="31"/>
      <c r="K11" s="33">
        <f t="shared" si="0"/>
        <v>0</v>
      </c>
      <c r="L11" s="12"/>
      <c r="O11" s="13"/>
      <c r="P11" s="34" t="s">
        <v>54</v>
      </c>
      <c r="Q11" s="34" t="str">
        <f>staging!C46</f>
        <v>ADH-COR155</v>
      </c>
      <c r="R11" s="35">
        <f>SUMIFS(staging!$I:$I,staging!$A:$A,"Intermediate",staging!$C:$C,'price calculation'!Q11)</f>
        <v>0</v>
      </c>
      <c r="S11" s="34" t="s">
        <v>83</v>
      </c>
      <c r="T11" s="36">
        <v>0</v>
      </c>
      <c r="U11" s="37">
        <f>VLOOKUP(Q11,mat!$A:$B,2,0)</f>
        <v>2.371323529411765E-2</v>
      </c>
      <c r="V11" s="35">
        <f>VLOOKUP(Q11,mat!$A:$C,3,0)*R11</f>
        <v>0</v>
      </c>
      <c r="W11" s="35"/>
      <c r="X11" s="37">
        <f t="shared" si="1"/>
        <v>0</v>
      </c>
      <c r="Y11" s="17"/>
      <c r="AB11" s="8"/>
      <c r="AC11" s="30" t="s">
        <v>54</v>
      </c>
      <c r="AD11" s="30" t="str">
        <f>staging!C83</f>
        <v>ADH-COR155</v>
      </c>
      <c r="AE11" s="31">
        <f>SUMIFS(staging!$I:$I,staging!$A:$A,"Bottom",staging!$C:$C,'price calculation'!AD11)</f>
        <v>0</v>
      </c>
      <c r="AF11" s="30" t="s">
        <v>83</v>
      </c>
      <c r="AG11" s="32">
        <v>0</v>
      </c>
      <c r="AH11" s="33">
        <f>VLOOKUP(AD11,mat!$A:$B,2,0)</f>
        <v>2.371323529411765E-2</v>
      </c>
      <c r="AI11" s="31">
        <f>VLOOKUP(AD11,mat!$A:$C,3,0)*AE11</f>
        <v>0</v>
      </c>
      <c r="AJ11" s="31"/>
      <c r="AK11" s="33">
        <f t="shared" si="2"/>
        <v>0</v>
      </c>
      <c r="AL11" s="12"/>
      <c r="AN11" s="243"/>
      <c r="AO11" s="232"/>
      <c r="AP11" s="232"/>
      <c r="AQ11" s="232"/>
      <c r="AR11" s="245"/>
      <c r="AS11" s="243"/>
      <c r="AT11" s="232"/>
      <c r="AU11" s="232"/>
      <c r="AV11" s="232"/>
      <c r="AW11" s="245"/>
      <c r="AX11" s="243"/>
      <c r="AY11" s="232"/>
      <c r="AZ11" s="232"/>
      <c r="BA11" s="232"/>
      <c r="BB11" s="245"/>
    </row>
    <row r="12" spans="2:54" x14ac:dyDescent="0.25">
      <c r="B12" s="8"/>
      <c r="C12" s="30" t="s">
        <v>57</v>
      </c>
      <c r="D12" s="30" t="str">
        <f>staging!C12</f>
        <v>ASIL</v>
      </c>
      <c r="E12" s="31">
        <f>SUMIFS(staging!$I:$I,staging!$A:$A,"Top",staging!$C:$C,'price calculation'!D12)</f>
        <v>0</v>
      </c>
      <c r="F12" s="30" t="s">
        <v>84</v>
      </c>
      <c r="G12" s="32">
        <v>0</v>
      </c>
      <c r="H12" s="33">
        <f>VLOOKUP(D12,mat!$A:$B,2,0)</f>
        <v>15.495088848039217</v>
      </c>
      <c r="I12" s="31">
        <f>VLOOKUP(D12,mat!$A:$C,3,0)*E12</f>
        <v>0</v>
      </c>
      <c r="J12" s="31"/>
      <c r="K12" s="33">
        <f t="shared" si="0"/>
        <v>0</v>
      </c>
      <c r="L12" s="12"/>
      <c r="O12" s="13"/>
      <c r="P12" s="34" t="s">
        <v>57</v>
      </c>
      <c r="Q12" s="34" t="str">
        <f>staging!C47</f>
        <v>ASIL</v>
      </c>
      <c r="R12" s="35">
        <f>SUMIFS(staging!$I:$I,staging!$A:$A,"Intermediate",staging!$C:$C,'price calculation'!Q12)</f>
        <v>0</v>
      </c>
      <c r="S12" s="34" t="s">
        <v>84</v>
      </c>
      <c r="T12" s="36">
        <v>0</v>
      </c>
      <c r="U12" s="37">
        <f>VLOOKUP(Q12,mat!$A:$B,2,0)</f>
        <v>15.495088848039217</v>
      </c>
      <c r="V12" s="35">
        <f>VLOOKUP(Q12,mat!$A:$C,3,0)*R12</f>
        <v>0</v>
      </c>
      <c r="W12" s="35"/>
      <c r="X12" s="37">
        <f t="shared" si="1"/>
        <v>0</v>
      </c>
      <c r="Y12" s="17"/>
      <c r="AB12" s="8"/>
      <c r="AC12" s="30" t="s">
        <v>57</v>
      </c>
      <c r="AD12" s="30" t="str">
        <f>staging!C84</f>
        <v>ASIL</v>
      </c>
      <c r="AE12" s="31">
        <f>SUMIFS(staging!$I:$I,staging!$A:$A,"Bottom",staging!$C:$C,'price calculation'!AD12)</f>
        <v>0</v>
      </c>
      <c r="AF12" s="30" t="s">
        <v>84</v>
      </c>
      <c r="AG12" s="32">
        <v>0</v>
      </c>
      <c r="AH12" s="33">
        <f>VLOOKUP(AD12,mat!$A:$B,2,0)</f>
        <v>15.495088848039217</v>
      </c>
      <c r="AI12" s="31">
        <f>VLOOKUP(AD12,mat!$A:$C,3,0)*AE12</f>
        <v>0</v>
      </c>
      <c r="AJ12" s="31"/>
      <c r="AK12" s="33">
        <f t="shared" si="2"/>
        <v>0</v>
      </c>
      <c r="AL12" s="12"/>
      <c r="AN12" s="243"/>
      <c r="AO12" s="232"/>
      <c r="AP12" s="232"/>
      <c r="AQ12" s="232"/>
      <c r="AR12" s="245"/>
      <c r="AS12" s="243"/>
      <c r="AT12" s="232"/>
      <c r="AU12" s="232"/>
      <c r="AV12" s="232"/>
      <c r="AW12" s="245"/>
      <c r="AX12" s="243"/>
      <c r="AY12" s="232"/>
      <c r="AZ12" s="232"/>
      <c r="BA12" s="232"/>
      <c r="BB12" s="245"/>
    </row>
    <row r="13" spans="2:54" ht="17.25" x14ac:dyDescent="0.25">
      <c r="B13" s="8"/>
      <c r="C13" s="30" t="s">
        <v>246</v>
      </c>
      <c r="D13" s="30" t="str">
        <f>staging!C13</f>
        <v>AB-STUC</v>
      </c>
      <c r="E13" s="31">
        <f>SUMIFS(staging!$I:$I,staging!$A:$A,"Top",staging!$C:$C,'price calculation'!D13)</f>
        <v>0</v>
      </c>
      <c r="F13" s="30" t="s">
        <v>80</v>
      </c>
      <c r="G13" s="32">
        <v>0.25</v>
      </c>
      <c r="H13" s="33">
        <f>VLOOKUP(D13,mat!$A:$B,2,0)</f>
        <v>30.525887254901964</v>
      </c>
      <c r="I13" s="31">
        <f>VLOOKUP(D13,mat!$A:$C,3,0)*E13</f>
        <v>0</v>
      </c>
      <c r="J13" s="31">
        <f>IF('order form'!$D$16&gt;1,1,0)*VLOOKUP(D13,mat!$A:$D,4,0)*E13</f>
        <v>0</v>
      </c>
      <c r="K13" s="33">
        <f t="shared" si="0"/>
        <v>0</v>
      </c>
      <c r="L13" s="12"/>
      <c r="O13" s="13"/>
      <c r="P13" s="34" t="s">
        <v>246</v>
      </c>
      <c r="Q13" s="34" t="str">
        <f>staging!C50</f>
        <v>AB-STUC</v>
      </c>
      <c r="R13" s="35">
        <f>SUMIFS(staging!$I:$I,staging!$A:$A,"Intermediate",staging!$C:$C,'price calculation'!Q13)</f>
        <v>0</v>
      </c>
      <c r="S13" s="34" t="s">
        <v>249</v>
      </c>
      <c r="T13" s="36">
        <v>0.25</v>
      </c>
      <c r="U13" s="37">
        <f>VLOOKUP(Q13,mat!$A:$B,2,0)</f>
        <v>30.525887254901964</v>
      </c>
      <c r="V13" s="35">
        <f>VLOOKUP(Q13,mat!$A:$C,3,0)*R13</f>
        <v>0</v>
      </c>
      <c r="W13" s="35">
        <f>IF('order form'!$D$16&gt;1,1,0)*VLOOKUP(Q13,mat!$A:$D,4,0)*R13</f>
        <v>0</v>
      </c>
      <c r="X13" s="37">
        <f t="shared" si="1"/>
        <v>0</v>
      </c>
      <c r="Y13" s="17"/>
      <c r="AB13" s="8"/>
      <c r="AC13" s="30" t="s">
        <v>246</v>
      </c>
      <c r="AD13" s="30" t="str">
        <f>staging!C85</f>
        <v>AB-STUC</v>
      </c>
      <c r="AE13" s="31">
        <f>SUMIFS(staging!$I:$I,staging!$A:$A,"Bottom",staging!$C:$C,'price calculation'!AD13)</f>
        <v>0</v>
      </c>
      <c r="AF13" s="30" t="s">
        <v>249</v>
      </c>
      <c r="AG13" s="32">
        <v>0.25</v>
      </c>
      <c r="AH13" s="33">
        <f>VLOOKUP(AD13,mat!$A:$B,2,0)</f>
        <v>30.525887254901964</v>
      </c>
      <c r="AI13" s="31">
        <f>VLOOKUP(AD13,mat!$A:$C,3,0)*AE13</f>
        <v>0</v>
      </c>
      <c r="AJ13" s="31">
        <f>IF('order form'!$D$16&gt;1,1,0)*VLOOKUP(AD13,mat!$A:$D,4,0)*AE13</f>
        <v>0</v>
      </c>
      <c r="AK13" s="33">
        <f t="shared" si="2"/>
        <v>0</v>
      </c>
      <c r="AL13" s="12"/>
      <c r="AN13" s="243">
        <f>IF(J13&gt;0,1,0)</f>
        <v>0</v>
      </c>
      <c r="AO13" s="233">
        <f>VLOOKUP(D13,mat!A:D,4,0)*AN13</f>
        <v>0</v>
      </c>
      <c r="AP13" s="234">
        <f>J13</f>
        <v>0</v>
      </c>
      <c r="AQ13" s="232">
        <f>'order form'!J$25*'order form'!K$10</f>
        <v>0</v>
      </c>
      <c r="AR13" s="244">
        <f>AO13*AP13*AQ13</f>
        <v>0</v>
      </c>
      <c r="AS13" s="243">
        <f>IF(W13&gt;0,1,0)</f>
        <v>0</v>
      </c>
      <c r="AT13" s="233">
        <f>VLOOKUP(Q13,mat!A:D,4,0)*AS13</f>
        <v>0</v>
      </c>
      <c r="AU13" s="234">
        <f>W13</f>
        <v>0</v>
      </c>
      <c r="AV13" s="232">
        <f>'order form'!J$27*'order form'!K$10</f>
        <v>0</v>
      </c>
      <c r="AW13" s="244">
        <f>AT13*AU13*AV13</f>
        <v>0</v>
      </c>
      <c r="AX13" s="243">
        <f>IF(AJ13&gt;0,1,0)</f>
        <v>0</v>
      </c>
      <c r="AY13" s="233">
        <f>VLOOKUP(AD13,mat!A:D,4,0)*AX13</f>
        <v>0</v>
      </c>
      <c r="AZ13" s="234">
        <f>AJ13</f>
        <v>0</v>
      </c>
      <c r="BA13" s="232">
        <f>'order form'!J$29*'order form'!K$10</f>
        <v>0</v>
      </c>
      <c r="BB13" s="244">
        <f>AY13*AZ13*BA13</f>
        <v>0</v>
      </c>
    </row>
    <row r="14" spans="2:54" ht="17.25" x14ac:dyDescent="0.25">
      <c r="B14" s="8"/>
      <c r="C14" s="30" t="s">
        <v>247</v>
      </c>
      <c r="D14" s="30" t="s">
        <v>244</v>
      </c>
      <c r="E14" s="31">
        <f>SUMIFS(staging!$I:$I,staging!$A:$A,"Top",staging!$C:$C,'price calculation'!D14)</f>
        <v>0</v>
      </c>
      <c r="F14" s="30" t="s">
        <v>80</v>
      </c>
      <c r="G14" s="32">
        <v>0.25</v>
      </c>
      <c r="H14" s="33">
        <f>VLOOKUP(D14,mat!$A:$B,2,0)</f>
        <v>15.810565438193322</v>
      </c>
      <c r="I14" s="31">
        <f>VLOOKUP(D14,mat!$A:$C,3,0)*E14</f>
        <v>0</v>
      </c>
      <c r="J14" s="31">
        <f>IF('order form'!$D$16&gt;1,1,0)*VLOOKUP(D14,mat!$A:$D,4,0)*E14</f>
        <v>0</v>
      </c>
      <c r="K14" s="33">
        <f t="shared" si="0"/>
        <v>0</v>
      </c>
      <c r="L14" s="12"/>
      <c r="O14" s="13"/>
      <c r="P14" s="34" t="s">
        <v>247</v>
      </c>
      <c r="Q14" s="34" t="s">
        <v>244</v>
      </c>
      <c r="R14" s="35">
        <f>SUMIFS(staging!$I:$I,staging!$A:$A,"Intermediate",staging!$C:$C,'price calculation'!Q14)</f>
        <v>0</v>
      </c>
      <c r="S14" s="34" t="s">
        <v>249</v>
      </c>
      <c r="T14" s="36">
        <v>0.25</v>
      </c>
      <c r="U14" s="37">
        <f>VLOOKUP(Q14,mat!$A:$B,2,0)</f>
        <v>15.810565438193322</v>
      </c>
      <c r="V14" s="35">
        <f>VLOOKUP(Q14,mat!$A:$C,3,0)*R14</f>
        <v>0</v>
      </c>
      <c r="W14" s="35">
        <f>IF('order form'!$D$16&gt;1,1,0)*VLOOKUP(Q14,mat!$A:$D,4,0)*R14</f>
        <v>0</v>
      </c>
      <c r="X14" s="37">
        <f t="shared" si="1"/>
        <v>0</v>
      </c>
      <c r="Y14" s="17"/>
      <c r="AB14" s="8"/>
      <c r="AC14" s="30" t="s">
        <v>247</v>
      </c>
      <c r="AD14" s="30" t="s">
        <v>244</v>
      </c>
      <c r="AE14" s="31">
        <f>SUMIFS(staging!$I:$I,staging!$A:$A,"Bottom",staging!$C:$C,'price calculation'!AD14)</f>
        <v>0</v>
      </c>
      <c r="AF14" s="30" t="s">
        <v>249</v>
      </c>
      <c r="AG14" s="32">
        <v>0.25</v>
      </c>
      <c r="AH14" s="33">
        <f>VLOOKUP(AD14,mat!$A:$B,2,0)</f>
        <v>15.810565438193322</v>
      </c>
      <c r="AI14" s="31">
        <f>VLOOKUP(AD14,mat!$A:$C,3,0)*AE14</f>
        <v>0</v>
      </c>
      <c r="AJ14" s="31">
        <f>IF('order form'!$D$16&gt;1,1,0)*VLOOKUP(AD14,mat!$A:$D,4,0)*AE14</f>
        <v>0</v>
      </c>
      <c r="AK14" s="33">
        <f t="shared" si="2"/>
        <v>0</v>
      </c>
      <c r="AL14" s="12"/>
      <c r="AN14" s="243">
        <f>IF(J14&gt;0,1,0)</f>
        <v>0</v>
      </c>
      <c r="AO14" s="233">
        <f>VLOOKUP(D14,mat!A:D,4,0)*AN14</f>
        <v>0</v>
      </c>
      <c r="AP14" s="234">
        <f>J14</f>
        <v>0</v>
      </c>
      <c r="AQ14" s="232">
        <f>'order form'!J$25*'order form'!K$10</f>
        <v>0</v>
      </c>
      <c r="AR14" s="244">
        <f>AO14*AP14*AQ14</f>
        <v>0</v>
      </c>
      <c r="AS14" s="243">
        <f>IF(W14&gt;0,1,0)</f>
        <v>0</v>
      </c>
      <c r="AT14" s="233">
        <f>VLOOKUP(Q14,mat!A:D,4,0)*AS14</f>
        <v>0</v>
      </c>
      <c r="AU14" s="234">
        <f>W14</f>
        <v>0</v>
      </c>
      <c r="AV14" s="232">
        <f>'order form'!J$27*'order form'!K$10</f>
        <v>0</v>
      </c>
      <c r="AW14" s="244">
        <f>AT14*AU14*AV14</f>
        <v>0</v>
      </c>
      <c r="AX14" s="243">
        <f>IF(AJ14&gt;0,1,0)</f>
        <v>0</v>
      </c>
      <c r="AY14" s="233">
        <f>VLOOKUP(AD14,mat!A:D,4,0)*AX14</f>
        <v>0</v>
      </c>
      <c r="AZ14" s="234">
        <f>AJ14</f>
        <v>0</v>
      </c>
      <c r="BA14" s="232">
        <f>'order form'!J$29*'order form'!K$10</f>
        <v>0</v>
      </c>
      <c r="BB14" s="244">
        <f>AY14*AZ14*BA14</f>
        <v>0</v>
      </c>
    </row>
    <row r="15" spans="2:54" ht="17.25" x14ac:dyDescent="0.25">
      <c r="B15" s="8"/>
      <c r="C15" s="30" t="s">
        <v>248</v>
      </c>
      <c r="D15" s="30" t="str">
        <f>staging!C14</f>
        <v>AB-NIKE</v>
      </c>
      <c r="E15" s="31">
        <f>SUMIFS(staging!$I:$I,staging!$A:$A,"Top",staging!$C:$C,'price calculation'!D15)</f>
        <v>0</v>
      </c>
      <c r="F15" s="30" t="s">
        <v>80</v>
      </c>
      <c r="G15" s="32">
        <v>0.25</v>
      </c>
      <c r="H15" s="33">
        <f>VLOOKUP(D15,mat!$A:$B,2,0)</f>
        <v>1.7785539215686275</v>
      </c>
      <c r="I15" s="31">
        <f>VLOOKUP(D15,mat!$A:$C,3,0)*E15</f>
        <v>0</v>
      </c>
      <c r="J15" s="31"/>
      <c r="K15" s="33">
        <f t="shared" si="0"/>
        <v>0</v>
      </c>
      <c r="L15" s="12"/>
      <c r="O15" s="13"/>
      <c r="P15" s="34" t="s">
        <v>248</v>
      </c>
      <c r="Q15" s="34" t="str">
        <f>staging!C53</f>
        <v>AB-NIKE</v>
      </c>
      <c r="R15" s="35">
        <f>SUMIFS(staging!$I:$I,staging!$A:$A,"Intermediate",staging!$C:$C,'price calculation'!Q15)</f>
        <v>0</v>
      </c>
      <c r="S15" s="34" t="s">
        <v>249</v>
      </c>
      <c r="T15" s="36">
        <v>0.25</v>
      </c>
      <c r="U15" s="37">
        <f>VLOOKUP(Q15,mat!$A:$B,2,0)</f>
        <v>1.7785539215686275</v>
      </c>
      <c r="V15" s="35">
        <f>VLOOKUP(Q15,mat!$A:$C,3,0)*R15</f>
        <v>0</v>
      </c>
      <c r="W15" s="35"/>
      <c r="X15" s="37">
        <f t="shared" si="1"/>
        <v>0</v>
      </c>
      <c r="Y15" s="17"/>
      <c r="AB15" s="8"/>
      <c r="AC15" s="30" t="s">
        <v>248</v>
      </c>
      <c r="AD15" s="30" t="str">
        <f>staging!C86</f>
        <v>AB-NIKE</v>
      </c>
      <c r="AE15" s="31">
        <f>SUMIFS(staging!$I:$I,staging!$A:$A,"Bottom",staging!$C:$C,'price calculation'!AD15)</f>
        <v>0</v>
      </c>
      <c r="AF15" s="30" t="s">
        <v>249</v>
      </c>
      <c r="AG15" s="32">
        <v>0.25</v>
      </c>
      <c r="AH15" s="33">
        <f>VLOOKUP(AD15,mat!$A:$B,2,0)</f>
        <v>1.7785539215686275</v>
      </c>
      <c r="AI15" s="31">
        <f>VLOOKUP(AD15,mat!$A:$C,3,0)*AE15</f>
        <v>0</v>
      </c>
      <c r="AJ15" s="31"/>
      <c r="AK15" s="33">
        <f t="shared" si="2"/>
        <v>0</v>
      </c>
      <c r="AL15" s="12"/>
      <c r="AN15" s="243"/>
      <c r="AO15" s="232"/>
      <c r="AP15" s="232"/>
      <c r="AQ15" s="232"/>
      <c r="AR15" s="245"/>
      <c r="AS15" s="243"/>
      <c r="AT15" s="232"/>
      <c r="AU15" s="232"/>
      <c r="AV15" s="232"/>
      <c r="AW15" s="245"/>
      <c r="AX15" s="243"/>
      <c r="AY15" s="232"/>
      <c r="AZ15" s="232"/>
      <c r="BA15" s="232"/>
      <c r="BB15" s="245"/>
    </row>
    <row r="16" spans="2:54" x14ac:dyDescent="0.25">
      <c r="B16" s="8"/>
      <c r="C16" s="30" t="s">
        <v>58</v>
      </c>
      <c r="D16" s="30" t="str">
        <f>staging!C15</f>
        <v>ARS</v>
      </c>
      <c r="E16" s="31">
        <f>SUMIFS(staging!$I:$I,staging!$A:$A,"Top",staging!$C:$C,'price calculation'!D16)</f>
        <v>0</v>
      </c>
      <c r="F16" s="30" t="s">
        <v>81</v>
      </c>
      <c r="G16" s="32">
        <v>0</v>
      </c>
      <c r="H16" s="33">
        <f>VLOOKUP(D16,mat!$A:$B,2,0)</f>
        <v>0.26908823529411763</v>
      </c>
      <c r="I16" s="31">
        <f>VLOOKUP(D16,mat!$A:$C,3,0)*E16</f>
        <v>0</v>
      </c>
      <c r="J16" s="31"/>
      <c r="K16" s="33">
        <f t="shared" si="0"/>
        <v>0</v>
      </c>
      <c r="L16" s="12"/>
      <c r="O16" s="13"/>
      <c r="P16" s="34" t="s">
        <v>58</v>
      </c>
      <c r="Q16" s="34" t="str">
        <f>staging!C56</f>
        <v>ARS</v>
      </c>
      <c r="R16" s="35">
        <f>SUMIFS(staging!$I:$I,staging!$A:$A,"Intermediate",staging!$C:$C,'price calculation'!Q16)</f>
        <v>0</v>
      </c>
      <c r="S16" s="34" t="s">
        <v>81</v>
      </c>
      <c r="T16" s="36">
        <v>0</v>
      </c>
      <c r="U16" s="37">
        <f>VLOOKUP(Q16,mat!$A:$B,2,0)</f>
        <v>0.26908823529411763</v>
      </c>
      <c r="V16" s="35">
        <f>VLOOKUP(Q16,mat!$A:$C,3,0)*R16</f>
        <v>0</v>
      </c>
      <c r="W16" s="35"/>
      <c r="X16" s="37">
        <f t="shared" si="1"/>
        <v>0</v>
      </c>
      <c r="Y16" s="17"/>
      <c r="AB16" s="8"/>
      <c r="AC16" s="30" t="s">
        <v>58</v>
      </c>
      <c r="AD16" s="30" t="str">
        <f>staging!C87</f>
        <v>ARS</v>
      </c>
      <c r="AE16" s="31">
        <f>SUMIFS(staging!$I:$I,staging!$A:$A,"Bottom",staging!$C:$C,'price calculation'!AD16)</f>
        <v>0</v>
      </c>
      <c r="AF16" s="30" t="s">
        <v>81</v>
      </c>
      <c r="AG16" s="32">
        <v>0</v>
      </c>
      <c r="AH16" s="33">
        <f>VLOOKUP(AD16,mat!$A:$B,2,0)</f>
        <v>0.26908823529411763</v>
      </c>
      <c r="AI16" s="31">
        <f>VLOOKUP(AD16,mat!$A:$C,3,0)*AE16</f>
        <v>0</v>
      </c>
      <c r="AJ16" s="31"/>
      <c r="AK16" s="33">
        <f t="shared" si="2"/>
        <v>0</v>
      </c>
      <c r="AL16" s="12"/>
      <c r="AN16" s="243"/>
      <c r="AO16" s="232"/>
      <c r="AP16" s="232"/>
      <c r="AQ16" s="232"/>
      <c r="AR16" s="245"/>
      <c r="AS16" s="243"/>
      <c r="AT16" s="232"/>
      <c r="AU16" s="232"/>
      <c r="AV16" s="232"/>
      <c r="AW16" s="245"/>
      <c r="AX16" s="243"/>
      <c r="AY16" s="232"/>
      <c r="AZ16" s="232"/>
      <c r="BA16" s="232"/>
      <c r="BB16" s="245"/>
    </row>
    <row r="17" spans="2:54" x14ac:dyDescent="0.25">
      <c r="B17" s="8"/>
      <c r="C17" s="30" t="s">
        <v>563</v>
      </c>
      <c r="D17" s="30" t="s">
        <v>73</v>
      </c>
      <c r="E17" s="31">
        <f>SUMIFS(staging!$I:$I,staging!$A:$A,"Top",staging!$C:$C,'price calculation'!D17)</f>
        <v>0</v>
      </c>
      <c r="F17" s="30" t="s">
        <v>81</v>
      </c>
      <c r="G17" s="32">
        <v>0.05</v>
      </c>
      <c r="H17" s="33">
        <f>VLOOKUP(D17,mat!$A:$B,2,0)</f>
        <v>16.855849077478215</v>
      </c>
      <c r="I17" s="31">
        <f>VLOOKUP(D17,mat!$A:$C,3,0)*E17</f>
        <v>0</v>
      </c>
      <c r="J17" s="31">
        <f>IF('order form'!$D$16&gt;1,1,0)*VLOOKUP(D17,mat!$A:$D,4,0)*E17</f>
        <v>0</v>
      </c>
      <c r="K17" s="33">
        <f t="shared" si="0"/>
        <v>0</v>
      </c>
      <c r="L17" s="12"/>
      <c r="O17" s="13"/>
      <c r="P17" s="34" t="s">
        <v>59</v>
      </c>
      <c r="Q17" s="34" t="str">
        <f>staging!C57</f>
        <v>A4T1000</v>
      </c>
      <c r="R17" s="35">
        <f>SUMIFS(staging!$I:$I,staging!$A:$A,"Intermediate",staging!$C:$C,'price calculation'!Q17)</f>
        <v>0</v>
      </c>
      <c r="S17" s="34" t="s">
        <v>81</v>
      </c>
      <c r="T17" s="36">
        <v>0.25</v>
      </c>
      <c r="U17" s="37">
        <f>VLOOKUP(Q17,mat!$A:$B,2,0)</f>
        <v>11.552623485157953</v>
      </c>
      <c r="V17" s="35">
        <f>VLOOKUP(Q17,mat!$A:$C,3,0)*R17</f>
        <v>0</v>
      </c>
      <c r="W17" s="35">
        <f>IF('order form'!$D$16&gt;1,1,0)*VLOOKUP(Q17,mat!$A:$D,4,0)*R17</f>
        <v>0</v>
      </c>
      <c r="X17" s="37">
        <f t="shared" si="1"/>
        <v>0</v>
      </c>
      <c r="Y17" s="17"/>
      <c r="AB17" s="8"/>
      <c r="AC17" s="30" t="s">
        <v>59</v>
      </c>
      <c r="AD17" s="30" t="str">
        <f>staging!C88</f>
        <v>A4T1000</v>
      </c>
      <c r="AE17" s="31">
        <f>SUMIFS(staging!$I:$I,staging!$A:$A,"Bottom",staging!$C:$C,'price calculation'!AD17)</f>
        <v>0</v>
      </c>
      <c r="AF17" s="30" t="s">
        <v>81</v>
      </c>
      <c r="AG17" s="32">
        <v>0.25</v>
      </c>
      <c r="AH17" s="33">
        <f>VLOOKUP(AD17,mat!$A:$B,2,0)</f>
        <v>11.552623485157953</v>
      </c>
      <c r="AI17" s="31">
        <f>VLOOKUP(AD17,mat!$A:$C,3,0)*AE17</f>
        <v>0</v>
      </c>
      <c r="AJ17" s="31">
        <f>IF('order form'!$D$16&gt;1,1,0)*VLOOKUP(AD17,mat!$A:$D,4,0)*AE17</f>
        <v>0</v>
      </c>
      <c r="AK17" s="33">
        <f t="shared" si="2"/>
        <v>0</v>
      </c>
      <c r="AL17" s="12"/>
      <c r="AN17" s="243">
        <f>IF(J17&gt;0,1,0)</f>
        <v>0</v>
      </c>
      <c r="AO17" s="233">
        <f>VLOOKUP(D17,mat!A:D,4,0)*AN17</f>
        <v>0</v>
      </c>
      <c r="AP17" s="234">
        <f>E17</f>
        <v>0</v>
      </c>
      <c r="AQ17" s="232">
        <f>'order form'!J$25*'order form'!K$10</f>
        <v>0</v>
      </c>
      <c r="AR17" s="244">
        <f>AO17*AP17*AQ17</f>
        <v>0</v>
      </c>
      <c r="AS17" s="243">
        <f t="shared" ref="AS17:AS22" si="3">IF(W17&gt;0,1,0)</f>
        <v>0</v>
      </c>
      <c r="AT17" s="233">
        <f>VLOOKUP(Q17,mat!A:D,4,0)*AS17</f>
        <v>0</v>
      </c>
      <c r="AU17" s="234">
        <f t="shared" ref="AU17:AU22" si="4">R17</f>
        <v>0</v>
      </c>
      <c r="AV17" s="232">
        <f>'order form'!J$27*'order form'!K$10</f>
        <v>0</v>
      </c>
      <c r="AW17" s="244">
        <f t="shared" ref="AW17:AW22" si="5">AT17*AU17*AV17</f>
        <v>0</v>
      </c>
      <c r="AX17" s="243">
        <f>IF(AJ17&gt;0,1,0)</f>
        <v>0</v>
      </c>
      <c r="AY17" s="233">
        <f>VLOOKUP(AD17,mat!A:D,4,0)*AX17</f>
        <v>0</v>
      </c>
      <c r="AZ17" s="234">
        <f>AE17</f>
        <v>0</v>
      </c>
      <c r="BA17" s="232">
        <f>'order form'!J$29*'order form'!K$10</f>
        <v>0</v>
      </c>
      <c r="BB17" s="244">
        <f>AY17*AZ17*BA17</f>
        <v>0</v>
      </c>
    </row>
    <row r="18" spans="2:54" x14ac:dyDescent="0.25">
      <c r="B18" s="8"/>
      <c r="C18" s="30" t="s">
        <v>564</v>
      </c>
      <c r="D18" s="30" t="s">
        <v>70</v>
      </c>
      <c r="E18" s="31">
        <f>SUMIFS(staging!$I:$I,staging!$A:$A,"Top",staging!$C:$C,'price calculation'!D18)</f>
        <v>0</v>
      </c>
      <c r="F18" s="30" t="s">
        <v>81</v>
      </c>
      <c r="G18" s="32">
        <v>0.05</v>
      </c>
      <c r="H18" s="33">
        <f>VLOOKUP(D18,mat!$A:$B,2,0)</f>
        <v>27.25337954452614</v>
      </c>
      <c r="I18" s="31">
        <f>VLOOKUP(D18,mat!$A:$C,3,0)*E18</f>
        <v>0</v>
      </c>
      <c r="J18" s="31">
        <f>IF('order form'!$D$16&gt;1,1,0)*VLOOKUP(D18,mat!$A:$D,4,0)*E18</f>
        <v>0</v>
      </c>
      <c r="K18" s="33">
        <f t="shared" si="0"/>
        <v>0</v>
      </c>
      <c r="L18" s="12"/>
      <c r="O18" s="13"/>
      <c r="P18" s="34" t="s">
        <v>567</v>
      </c>
      <c r="Q18" s="34" t="s">
        <v>73</v>
      </c>
      <c r="R18" s="35">
        <f>SUMIFS(staging!$I:$I,staging!$A:$A,"Intermediate",staging!$C:$C,'price calculation'!Q18)</f>
        <v>0</v>
      </c>
      <c r="S18" s="34" t="s">
        <v>81</v>
      </c>
      <c r="T18" s="36">
        <v>0</v>
      </c>
      <c r="U18" s="37">
        <f>VLOOKUP(Q18,mat!$A:$B,2,0)</f>
        <v>16.855849077478215</v>
      </c>
      <c r="V18" s="35">
        <f>VLOOKUP(Q18,mat!$A:$C,3,0)*R18</f>
        <v>0</v>
      </c>
      <c r="W18" s="35">
        <f>IF('order form'!$D$16&gt;1,1,0)*VLOOKUP(Q18,mat!$A:$D,4,0)*R18</f>
        <v>0</v>
      </c>
      <c r="X18" s="37">
        <f t="shared" si="1"/>
        <v>0</v>
      </c>
      <c r="Y18" s="17"/>
      <c r="AB18" s="8"/>
      <c r="AC18" s="30" t="s">
        <v>565</v>
      </c>
      <c r="AD18" s="30" t="s">
        <v>73</v>
      </c>
      <c r="AE18" s="31">
        <f>SUMIFS(staging!$I:$I,staging!$A:$A,"Bottom",staging!$C:$C,'price calculation'!AD18)</f>
        <v>0</v>
      </c>
      <c r="AF18" s="30" t="s">
        <v>81</v>
      </c>
      <c r="AG18" s="32">
        <v>0.05</v>
      </c>
      <c r="AH18" s="33">
        <f>VLOOKUP(AD18,mat!$A:$B,2,0)</f>
        <v>16.855849077478215</v>
      </c>
      <c r="AI18" s="31">
        <f>VLOOKUP(AD18,mat!$A:$C,3,0)*AE18</f>
        <v>0</v>
      </c>
      <c r="AJ18" s="31">
        <f>IF('order form'!$D$16&gt;1,1,0)*VLOOKUP(AD18,mat!$A:$D,4,0)*AE18</f>
        <v>0</v>
      </c>
      <c r="AK18" s="33">
        <f t="shared" si="2"/>
        <v>0</v>
      </c>
      <c r="AL18" s="12"/>
      <c r="AN18" s="243">
        <f>IF(J18&gt;0,1,0)</f>
        <v>0</v>
      </c>
      <c r="AO18" s="233">
        <f>VLOOKUP(D18,mat!A:D,4,0)*AN18</f>
        <v>0</v>
      </c>
      <c r="AP18" s="234">
        <f>E18</f>
        <v>0</v>
      </c>
      <c r="AQ18" s="232">
        <f>'order form'!J$25*'order form'!K$10</f>
        <v>0</v>
      </c>
      <c r="AR18" s="244">
        <f>AO18*AP18*AQ18</f>
        <v>0</v>
      </c>
      <c r="AS18" s="243">
        <f t="shared" si="3"/>
        <v>0</v>
      </c>
      <c r="AT18" s="233">
        <f>VLOOKUP(Q18,mat!A:D,4,0)*AS18</f>
        <v>0</v>
      </c>
      <c r="AU18" s="234">
        <f t="shared" si="4"/>
        <v>0</v>
      </c>
      <c r="AV18" s="232">
        <f>'order form'!J$27*'order form'!K$10</f>
        <v>0</v>
      </c>
      <c r="AW18" s="244">
        <f t="shared" si="5"/>
        <v>0</v>
      </c>
      <c r="AX18" s="243">
        <f>IF(AJ18&gt;0,1,0)</f>
        <v>0</v>
      </c>
      <c r="AY18" s="233">
        <f>VLOOKUP(AD18,mat!A:D,4,0)*AX18</f>
        <v>0</v>
      </c>
      <c r="AZ18" s="234">
        <f>AE18</f>
        <v>0</v>
      </c>
      <c r="BA18" s="232">
        <f>'order form'!J$29*'order form'!K$10</f>
        <v>0</v>
      </c>
      <c r="BB18" s="244">
        <f>AY18*AZ18*BA18</f>
        <v>0</v>
      </c>
    </row>
    <row r="19" spans="2:54" x14ac:dyDescent="0.25">
      <c r="B19" s="8"/>
      <c r="C19" s="30"/>
      <c r="D19" s="30"/>
      <c r="E19" s="31"/>
      <c r="F19" s="30"/>
      <c r="G19" s="32"/>
      <c r="H19" s="33"/>
      <c r="I19" s="31"/>
      <c r="J19" s="31"/>
      <c r="K19" s="33"/>
      <c r="L19" s="12"/>
      <c r="O19" s="13"/>
      <c r="P19" s="34" t="s">
        <v>568</v>
      </c>
      <c r="Q19" s="34" t="s">
        <v>70</v>
      </c>
      <c r="R19" s="35">
        <f>SUMIFS(staging!$I:$I,staging!$A:$A,"Intermediate",staging!$C:$C,'price calculation'!Q19)</f>
        <v>0</v>
      </c>
      <c r="S19" s="34" t="s">
        <v>81</v>
      </c>
      <c r="T19" s="36">
        <v>0</v>
      </c>
      <c r="U19" s="37">
        <f>VLOOKUP(Q19,mat!$A:$B,2,0)</f>
        <v>27.25337954452614</v>
      </c>
      <c r="V19" s="35">
        <f>VLOOKUP(Q19,mat!$A:$C,3,0)*R19</f>
        <v>0</v>
      </c>
      <c r="W19" s="35">
        <f>IF('order form'!$D$16&gt;1,1,0)*VLOOKUP(Q19,mat!$A:$D,4,0)*R19</f>
        <v>0</v>
      </c>
      <c r="X19" s="37">
        <f t="shared" si="1"/>
        <v>0</v>
      </c>
      <c r="Y19" s="17"/>
      <c r="AB19" s="8"/>
      <c r="AC19" s="30"/>
      <c r="AD19" s="30"/>
      <c r="AE19" s="31"/>
      <c r="AF19" s="30"/>
      <c r="AG19" s="32"/>
      <c r="AH19" s="33"/>
      <c r="AI19" s="31"/>
      <c r="AJ19" s="31"/>
      <c r="AK19" s="33"/>
      <c r="AL19" s="12"/>
      <c r="AN19" s="243"/>
      <c r="AO19" s="233"/>
      <c r="AP19" s="234"/>
      <c r="AQ19" s="232"/>
      <c r="AR19" s="244"/>
      <c r="AS19" s="243">
        <f t="shared" si="3"/>
        <v>0</v>
      </c>
      <c r="AT19" s="233">
        <f>VLOOKUP(Q19,mat!A:D,4,0)*AS19</f>
        <v>0</v>
      </c>
      <c r="AU19" s="234">
        <f t="shared" si="4"/>
        <v>0</v>
      </c>
      <c r="AV19" s="232">
        <f>'order form'!J$27*'order form'!K$10</f>
        <v>0</v>
      </c>
      <c r="AW19" s="244">
        <f t="shared" si="5"/>
        <v>0</v>
      </c>
      <c r="AX19" s="243"/>
      <c r="AY19" s="233"/>
      <c r="AZ19" s="234"/>
      <c r="BA19" s="232"/>
      <c r="BB19" s="244"/>
    </row>
    <row r="20" spans="2:54" x14ac:dyDescent="0.25">
      <c r="B20" s="8"/>
      <c r="C20" s="30" t="s">
        <v>61</v>
      </c>
      <c r="D20" s="30" t="str">
        <f>staging!C18</f>
        <v>A2M1000</v>
      </c>
      <c r="E20" s="31">
        <f>SUMIFS(staging!$I:$I,staging!$A:$A,"Top",staging!$C:$C,'price calculation'!D20)</f>
        <v>0</v>
      </c>
      <c r="F20" s="30" t="s">
        <v>81</v>
      </c>
      <c r="G20" s="32">
        <v>0</v>
      </c>
      <c r="H20" s="33">
        <f>VLOOKUP(D20,mat!$A:$B,2,0)</f>
        <v>9.7302275667211333</v>
      </c>
      <c r="I20" s="31">
        <f>VLOOKUP(D20,mat!$A:$C,3,0)*E20</f>
        <v>0</v>
      </c>
      <c r="J20" s="31">
        <f>IF('order form'!$D$16&gt;1,1,0)*VLOOKUP(D20,mat!$A:$D,4,0)*E20</f>
        <v>0</v>
      </c>
      <c r="K20" s="33">
        <f t="shared" si="0"/>
        <v>0</v>
      </c>
      <c r="L20" s="12"/>
      <c r="O20" s="13"/>
      <c r="P20" s="34" t="s">
        <v>61</v>
      </c>
      <c r="Q20" s="34" t="str">
        <f>staging!C62</f>
        <v>A2M1000</v>
      </c>
      <c r="R20" s="35">
        <f>SUMIFS(staging!$I:$I,staging!$A:$A,"Intermediate",staging!$C:$C,'price calculation'!Q20)</f>
        <v>0</v>
      </c>
      <c r="S20" s="34" t="s">
        <v>81</v>
      </c>
      <c r="T20" s="36">
        <v>0</v>
      </c>
      <c r="U20" s="37">
        <f>VLOOKUP(Q20,mat!$A:$B,2,0)</f>
        <v>9.7302275667211333</v>
      </c>
      <c r="V20" s="35">
        <f>VLOOKUP(Q20,mat!$A:$C,3,0)*R20</f>
        <v>0</v>
      </c>
      <c r="W20" s="35">
        <f>IF('order form'!$D$16&gt;1,1,0)*VLOOKUP(Q20,mat!$A:$D,4,0)*R20</f>
        <v>0</v>
      </c>
      <c r="X20" s="37">
        <f t="shared" si="1"/>
        <v>0</v>
      </c>
      <c r="Y20" s="17"/>
      <c r="AB20" s="8"/>
      <c r="AC20" s="30" t="s">
        <v>61</v>
      </c>
      <c r="AD20" s="30" t="str">
        <f>staging!C90</f>
        <v>A2M1000</v>
      </c>
      <c r="AE20" s="31">
        <f>SUMIFS(staging!$I:$I,staging!$A:$A,"Bottom",staging!$C:$C,'price calculation'!AD20)</f>
        <v>0</v>
      </c>
      <c r="AF20" s="30" t="s">
        <v>81</v>
      </c>
      <c r="AG20" s="32">
        <v>0</v>
      </c>
      <c r="AH20" s="33">
        <f>VLOOKUP(AD20,mat!$A:$B,2,0)</f>
        <v>9.7302275667211333</v>
      </c>
      <c r="AI20" s="31">
        <f>VLOOKUP(AD20,mat!$A:$C,3,0)*AE20</f>
        <v>0</v>
      </c>
      <c r="AJ20" s="31">
        <f>IF('order form'!$D$16&gt;1,1,0)*VLOOKUP(AD20,mat!$A:$D,4,0)*AE20</f>
        <v>0</v>
      </c>
      <c r="AK20" s="33">
        <f t="shared" si="2"/>
        <v>0</v>
      </c>
      <c r="AL20" s="12"/>
      <c r="AN20" s="243">
        <f>IF(J20&gt;0,1,0)</f>
        <v>0</v>
      </c>
      <c r="AO20" s="233">
        <f>VLOOKUP(D20,mat!A:D,4,0)*AN20</f>
        <v>0</v>
      </c>
      <c r="AP20" s="234">
        <f>E20</f>
        <v>0</v>
      </c>
      <c r="AQ20" s="232">
        <f>'order form'!J$25*'order form'!K$10</f>
        <v>0</v>
      </c>
      <c r="AR20" s="244">
        <f>AO20*AP20*AQ20</f>
        <v>0</v>
      </c>
      <c r="AS20" s="243">
        <f t="shared" si="3"/>
        <v>0</v>
      </c>
      <c r="AT20" s="233">
        <f>VLOOKUP(Q20,mat!A:D,4,0)*AS20</f>
        <v>0</v>
      </c>
      <c r="AU20" s="234">
        <f t="shared" si="4"/>
        <v>0</v>
      </c>
      <c r="AV20" s="232">
        <f>'order form'!J$27*'order form'!K$10</f>
        <v>0</v>
      </c>
      <c r="AW20" s="244">
        <f t="shared" si="5"/>
        <v>0</v>
      </c>
      <c r="AX20" s="243">
        <f>IF(AJ20&gt;0,1,0)</f>
        <v>0</v>
      </c>
      <c r="AY20" s="233">
        <f>VLOOKUP(AD20,mat!A:D,4,0)*AX20</f>
        <v>0</v>
      </c>
      <c r="AZ20" s="234">
        <f>AE20</f>
        <v>0</v>
      </c>
      <c r="BA20" s="232">
        <f>'order form'!J$29*'order form'!K$10</f>
        <v>0</v>
      </c>
      <c r="BB20" s="244">
        <f>AY20*AZ20*BA20</f>
        <v>0</v>
      </c>
    </row>
    <row r="21" spans="2:54" x14ac:dyDescent="0.25">
      <c r="B21" s="8"/>
      <c r="C21" s="30" t="s">
        <v>62</v>
      </c>
      <c r="D21" s="30" t="str">
        <f>staging!C19</f>
        <v>A3B1000</v>
      </c>
      <c r="E21" s="31">
        <f>SUMIFS(staging!$I:$I,staging!$A:$A,"Top",staging!$C:$C,'price calculation'!D21)</f>
        <v>0</v>
      </c>
      <c r="F21" s="30" t="s">
        <v>81</v>
      </c>
      <c r="G21" s="32">
        <v>0.25</v>
      </c>
      <c r="H21" s="33">
        <f>VLOOKUP(D21,mat!$A:$B,2,0)</f>
        <v>13.728938844635074</v>
      </c>
      <c r="I21" s="31">
        <f>VLOOKUP(D21,mat!$A:$C,3,0)*E21</f>
        <v>0</v>
      </c>
      <c r="J21" s="31">
        <f>IF('order form'!$D$16&gt;1,1,0)*VLOOKUP(D21,mat!$A:$D,4,0)*E21</f>
        <v>0</v>
      </c>
      <c r="K21" s="33">
        <f t="shared" si="0"/>
        <v>0</v>
      </c>
      <c r="L21" s="12"/>
      <c r="O21" s="13"/>
      <c r="P21" s="34" t="s">
        <v>62</v>
      </c>
      <c r="Q21" s="34" t="str">
        <f>staging!C63</f>
        <v>A3B1000</v>
      </c>
      <c r="R21" s="35">
        <f>SUMIFS(staging!$I:$I,staging!$A:$A,"Intermediate",staging!$C:$C,'price calculation'!Q21)</f>
        <v>0</v>
      </c>
      <c r="S21" s="34" t="s">
        <v>81</v>
      </c>
      <c r="T21" s="36">
        <v>0.25</v>
      </c>
      <c r="U21" s="37">
        <f>VLOOKUP(Q21,mat!$A:$B,2,0)</f>
        <v>13.728938844635074</v>
      </c>
      <c r="V21" s="35">
        <f>VLOOKUP(Q21,mat!$A:$C,3,0)*R21</f>
        <v>0</v>
      </c>
      <c r="W21" s="35">
        <f>IF('order form'!$D$16&gt;1,1,0)*VLOOKUP(Q21,mat!$A:$D,4,0)*R21</f>
        <v>0</v>
      </c>
      <c r="X21" s="37">
        <f t="shared" si="1"/>
        <v>0</v>
      </c>
      <c r="Y21" s="17"/>
      <c r="AB21" s="8"/>
      <c r="AC21" s="30" t="s">
        <v>566</v>
      </c>
      <c r="AD21" s="30" t="s">
        <v>70</v>
      </c>
      <c r="AE21" s="31">
        <f>SUMIFS(staging!$I:$I,staging!$A:$A,"Bottom",staging!$C:$C,'price calculation'!AD21)</f>
        <v>0</v>
      </c>
      <c r="AF21" s="30" t="s">
        <v>81</v>
      </c>
      <c r="AG21" s="32">
        <v>0.05</v>
      </c>
      <c r="AH21" s="33">
        <f>VLOOKUP(AD21,mat!$A:$B,2,0)</f>
        <v>27.25337954452614</v>
      </c>
      <c r="AI21" s="31">
        <f>VLOOKUP(AD21,mat!$A:$C,3,0)*AE21</f>
        <v>0</v>
      </c>
      <c r="AJ21" s="31">
        <f>IF('order form'!$D$16&gt;1,1,0)*VLOOKUP(AD21,mat!$A:$D,4,0)*AE21</f>
        <v>0</v>
      </c>
      <c r="AK21" s="33">
        <f t="shared" si="2"/>
        <v>0</v>
      </c>
      <c r="AL21" s="12"/>
      <c r="AN21" s="243">
        <f>IF(J21&gt;0,1,0)</f>
        <v>0</v>
      </c>
      <c r="AO21" s="233">
        <f>VLOOKUP(D21,mat!A:D,4,0)*AN21</f>
        <v>0</v>
      </c>
      <c r="AP21" s="234">
        <f>E21</f>
        <v>0</v>
      </c>
      <c r="AQ21" s="232">
        <f>'order form'!J$25*'order form'!K$10</f>
        <v>0</v>
      </c>
      <c r="AR21" s="244">
        <f>AO21*AP21*AQ21</f>
        <v>0</v>
      </c>
      <c r="AS21" s="243">
        <f t="shared" si="3"/>
        <v>0</v>
      </c>
      <c r="AT21" s="233">
        <f>VLOOKUP(Q21,mat!A:D,4,0)*AS21</f>
        <v>0</v>
      </c>
      <c r="AU21" s="234">
        <f t="shared" si="4"/>
        <v>0</v>
      </c>
      <c r="AV21" s="232">
        <f>'order form'!J$27*'order form'!K$10</f>
        <v>0</v>
      </c>
      <c r="AW21" s="244">
        <f t="shared" si="5"/>
        <v>0</v>
      </c>
      <c r="AX21" s="243">
        <f>IF(AJ21&gt;0,1,0)</f>
        <v>0</v>
      </c>
      <c r="AY21" s="233">
        <f>VLOOKUP(AD21,mat!A:D,4,0)*AX21</f>
        <v>0</v>
      </c>
      <c r="AZ21" s="234">
        <f>AE21</f>
        <v>0</v>
      </c>
      <c r="BA21" s="232">
        <f>'order form'!J$29*'order form'!K$10</f>
        <v>0</v>
      </c>
      <c r="BB21" s="244">
        <f>AY21*AZ21*BA21</f>
        <v>0</v>
      </c>
    </row>
    <row r="22" spans="2:54" x14ac:dyDescent="0.25">
      <c r="B22" s="8"/>
      <c r="C22" s="30" t="s">
        <v>257</v>
      </c>
      <c r="D22" s="30" t="s">
        <v>294</v>
      </c>
      <c r="E22" s="31">
        <f>SUMIFS(staging!$I:$I,staging!$A:$A,"Top",staging!$C:$C,'price calculation'!D22)</f>
        <v>0</v>
      </c>
      <c r="F22" s="30" t="s">
        <v>81</v>
      </c>
      <c r="G22" s="32">
        <v>0.25</v>
      </c>
      <c r="H22" s="33">
        <f>VLOOKUP(D22,mat!$A:$B,2,0)</f>
        <v>0</v>
      </c>
      <c r="I22" s="31">
        <f>VLOOKUP(D22,mat!$A:$C,3,0)*E22</f>
        <v>0</v>
      </c>
      <c r="J22" s="31">
        <f>IF('order form'!$D$16&gt;1,1,0)*VLOOKUP(D22,mat!$A:$D,4,0)*E22</f>
        <v>0</v>
      </c>
      <c r="K22" s="33">
        <f t="shared" si="0"/>
        <v>0</v>
      </c>
      <c r="L22" s="12"/>
      <c r="O22" s="13"/>
      <c r="P22" s="34" t="s">
        <v>257</v>
      </c>
      <c r="Q22" s="34" t="str">
        <f>staging!C66</f>
        <v xml:space="preserve"> - </v>
      </c>
      <c r="R22" s="35">
        <f>SUMIFS(staging!$I:$I,staging!$A:$A,"Intermediate",staging!$C:$C,'price calculation'!Q22)</f>
        <v>0</v>
      </c>
      <c r="S22" s="34" t="s">
        <v>81</v>
      </c>
      <c r="T22" s="36">
        <v>0.25</v>
      </c>
      <c r="U22" s="37">
        <f>VLOOKUP(Q22,mat!$A:$B,2,0)</f>
        <v>0</v>
      </c>
      <c r="V22" s="35">
        <f>VLOOKUP(Q22,mat!$A:$C,3,0)*R22</f>
        <v>0</v>
      </c>
      <c r="W22" s="35">
        <f>IF('order form'!$D$16&gt;1,1,0)*VLOOKUP(Q22,mat!$A:$D,4,0)*R22</f>
        <v>0</v>
      </c>
      <c r="X22" s="37">
        <f t="shared" si="1"/>
        <v>0</v>
      </c>
      <c r="Y22" s="17"/>
      <c r="AB22" s="8"/>
      <c r="AC22" s="30" t="s">
        <v>257</v>
      </c>
      <c r="AD22" s="30" t="str">
        <f>staging!C92</f>
        <v xml:space="preserve"> - </v>
      </c>
      <c r="AE22" s="31">
        <f>SUMIFS(staging!$I:$I,staging!$A:$A,"Bottom",staging!$C:$C,'price calculation'!AD22)</f>
        <v>0</v>
      </c>
      <c r="AF22" s="30" t="s">
        <v>81</v>
      </c>
      <c r="AG22" s="32">
        <v>0.25</v>
      </c>
      <c r="AH22" s="33">
        <f>VLOOKUP(AD22,mat!$A:$B,2,0)</f>
        <v>0</v>
      </c>
      <c r="AI22" s="31">
        <f>VLOOKUP(AD22,mat!$A:$C,3,0)*AE22</f>
        <v>0</v>
      </c>
      <c r="AJ22" s="31">
        <f>IF('order form'!$D$16&gt;1,1,0)*VLOOKUP(AD22,mat!$A:$D,4,0)*AE22</f>
        <v>0</v>
      </c>
      <c r="AK22" s="33">
        <f t="shared" ref="AK22:AK26" si="6">AE22*AH22*(1+AG22)</f>
        <v>0</v>
      </c>
      <c r="AL22" s="12"/>
      <c r="AN22" s="243">
        <f>IF(J22&gt;0,1,0)</f>
        <v>0</v>
      </c>
      <c r="AO22" s="233">
        <f>VLOOKUP(D22,mat!A:D,4,0)*AN22</f>
        <v>0</v>
      </c>
      <c r="AP22" s="234">
        <f>E22</f>
        <v>0</v>
      </c>
      <c r="AQ22" s="232">
        <f>'order form'!J$25*'order form'!K$10</f>
        <v>0</v>
      </c>
      <c r="AR22" s="244">
        <f>AO22*AP22*AQ22</f>
        <v>0</v>
      </c>
      <c r="AS22" s="243">
        <f t="shared" si="3"/>
        <v>0</v>
      </c>
      <c r="AT22" s="233">
        <f>VLOOKUP(Q22,mat!A:D,4,0)*AS22</f>
        <v>0</v>
      </c>
      <c r="AU22" s="234">
        <f t="shared" si="4"/>
        <v>0</v>
      </c>
      <c r="AV22" s="232">
        <f>'order form'!J$27*'order form'!K$10</f>
        <v>0</v>
      </c>
      <c r="AW22" s="244">
        <f t="shared" si="5"/>
        <v>0</v>
      </c>
      <c r="AX22" s="243">
        <f>IF(AJ22&gt;0,1,0)</f>
        <v>0</v>
      </c>
      <c r="AY22" s="233">
        <f>VLOOKUP(AD22,mat!A:D,4,0)*AX22</f>
        <v>0</v>
      </c>
      <c r="AZ22" s="234">
        <f>AE22</f>
        <v>0</v>
      </c>
      <c r="BA22" s="232">
        <f>'order form'!J$29*'order form'!K$10</f>
        <v>0</v>
      </c>
      <c r="BB22" s="244">
        <f>AY22*AZ22*BA22</f>
        <v>0</v>
      </c>
    </row>
    <row r="23" spans="2:54" x14ac:dyDescent="0.25">
      <c r="B23" s="8"/>
      <c r="C23" s="30" t="s">
        <v>68</v>
      </c>
      <c r="D23" s="30" t="str">
        <f>staging!C20</f>
        <v>A1054</v>
      </c>
      <c r="E23" s="31">
        <f>SUMIFS(staging!$I:$I,staging!$A:$A,"Top",staging!$C:$C,'price calculation'!D23)</f>
        <v>0</v>
      </c>
      <c r="F23" s="30" t="s">
        <v>83</v>
      </c>
      <c r="G23" s="32">
        <v>0</v>
      </c>
      <c r="H23" s="33">
        <f>VLOOKUP(D23,mat!$A:$B,2,0)</f>
        <v>0.12317647058823529</v>
      </c>
      <c r="I23" s="31">
        <f>VLOOKUP(D23,mat!$A:$C,3,0)*E23</f>
        <v>0</v>
      </c>
      <c r="J23" s="31"/>
      <c r="K23" s="33">
        <f t="shared" ref="K23:K29" si="7">E23*H23*(1+G23)</f>
        <v>0</v>
      </c>
      <c r="L23" s="12"/>
      <c r="O23" s="13"/>
      <c r="P23" s="34" t="s">
        <v>68</v>
      </c>
      <c r="Q23" s="34" t="str">
        <f>staging!C67</f>
        <v>A1054</v>
      </c>
      <c r="R23" s="35">
        <f>SUMIFS(staging!$I:$I,staging!$A:$A,"Intermediate",staging!$C:$C,'price calculation'!Q23)</f>
        <v>0</v>
      </c>
      <c r="S23" s="34" t="s">
        <v>83</v>
      </c>
      <c r="T23" s="36">
        <v>0</v>
      </c>
      <c r="U23" s="37">
        <f>VLOOKUP(Q23,mat!$A:$B,2,0)</f>
        <v>0.12317647058823529</v>
      </c>
      <c r="V23" s="35">
        <f>VLOOKUP(Q23,mat!$A:$C,3,0)*R23</f>
        <v>0</v>
      </c>
      <c r="W23" s="35"/>
      <c r="X23" s="37">
        <f>R23*U23*(1+T23)</f>
        <v>0</v>
      </c>
      <c r="Y23" s="17"/>
      <c r="AB23" s="8"/>
      <c r="AC23" s="30" t="s">
        <v>68</v>
      </c>
      <c r="AD23" s="30" t="str">
        <f>staging!C93</f>
        <v>A1054</v>
      </c>
      <c r="AE23" s="31">
        <f>SUMIFS(staging!$I:$I,staging!$A:$A,"Bottom",staging!$C:$C,'price calculation'!AD23)</f>
        <v>0</v>
      </c>
      <c r="AF23" s="30" t="s">
        <v>83</v>
      </c>
      <c r="AG23" s="32">
        <v>0</v>
      </c>
      <c r="AH23" s="33">
        <f>VLOOKUP(AD23,mat!$A:$B,2,0)</f>
        <v>0.12317647058823529</v>
      </c>
      <c r="AI23" s="31">
        <f>VLOOKUP(AD23,mat!$A:$C,3,0)*AE23</f>
        <v>0</v>
      </c>
      <c r="AJ23" s="31"/>
      <c r="AK23" s="33">
        <f t="shared" si="6"/>
        <v>0</v>
      </c>
      <c r="AL23" s="12"/>
      <c r="AN23" s="243"/>
      <c r="AO23" s="233"/>
      <c r="AP23" s="234"/>
      <c r="AQ23" s="232"/>
      <c r="AR23" s="244"/>
      <c r="AS23" s="243"/>
      <c r="AT23" s="233"/>
      <c r="AU23" s="234"/>
      <c r="AV23" s="232"/>
      <c r="AW23" s="244"/>
      <c r="AX23" s="243"/>
      <c r="AY23" s="233"/>
      <c r="AZ23" s="234"/>
      <c r="BA23" s="232"/>
      <c r="BB23" s="244"/>
    </row>
    <row r="24" spans="2:54" x14ac:dyDescent="0.25">
      <c r="B24" s="8"/>
      <c r="C24" s="30" t="s">
        <v>499</v>
      </c>
      <c r="D24" s="30" t="str">
        <f>staging!C21</f>
        <v>WOOD542</v>
      </c>
      <c r="E24" s="31">
        <f>SUMIFS(staging!$I:$I,staging!$A:$A,"Top",staging!$C:$C,'price calculation'!D24)</f>
        <v>0</v>
      </c>
      <c r="F24" s="30" t="s">
        <v>83</v>
      </c>
      <c r="G24" s="32">
        <v>0.3</v>
      </c>
      <c r="H24" s="33">
        <f>VLOOKUP(D24,mat!$A:$B,2,0)</f>
        <v>22.295750000000002</v>
      </c>
      <c r="I24" s="31">
        <f>VLOOKUP(D24,mat!$A:$C,3,0)*E24</f>
        <v>0</v>
      </c>
      <c r="J24" s="31"/>
      <c r="K24" s="33">
        <f t="shared" si="7"/>
        <v>0</v>
      </c>
      <c r="L24" s="12"/>
      <c r="O24" s="13"/>
      <c r="P24" s="34" t="s">
        <v>499</v>
      </c>
      <c r="Q24" s="34" t="str">
        <f>staging!C68</f>
        <v>WOOD542</v>
      </c>
      <c r="R24" s="35">
        <f>SUMIFS(staging!$I:$I,staging!$A:$A,"Intermediate",staging!$C:$C,'price calculation'!Q24)</f>
        <v>0</v>
      </c>
      <c r="S24" s="34" t="s">
        <v>83</v>
      </c>
      <c r="T24" s="36">
        <v>0.3</v>
      </c>
      <c r="U24" s="37">
        <f>VLOOKUP(Q24,mat!$A:$B,2,0)</f>
        <v>22.295750000000002</v>
      </c>
      <c r="V24" s="35">
        <f>VLOOKUP(Q24,mat!$A:$C,3,0)*R24</f>
        <v>0</v>
      </c>
      <c r="W24" s="35"/>
      <c r="X24" s="37">
        <f>R24*U24*(1+T24)</f>
        <v>0</v>
      </c>
      <c r="Y24" s="17"/>
      <c r="AB24" s="8"/>
      <c r="AC24" s="30" t="s">
        <v>499</v>
      </c>
      <c r="AD24" s="30" t="str">
        <f>staging!C94</f>
        <v>WOOD542</v>
      </c>
      <c r="AE24" s="31">
        <f>SUMIFS(staging!$I:$I,staging!$A:$A,"Bottom",staging!$C:$C,'price calculation'!AD24)</f>
        <v>0</v>
      </c>
      <c r="AF24" s="30" t="s">
        <v>83</v>
      </c>
      <c r="AG24" s="32">
        <v>0.3</v>
      </c>
      <c r="AH24" s="33">
        <f>VLOOKUP(AD24,mat!$A:$B,2,0)</f>
        <v>22.295750000000002</v>
      </c>
      <c r="AI24" s="31">
        <f>VLOOKUP(AD24,mat!$A:$C,3,0)*AE24</f>
        <v>0</v>
      </c>
      <c r="AJ24" s="31"/>
      <c r="AK24" s="33">
        <f t="shared" si="6"/>
        <v>0</v>
      </c>
      <c r="AL24" s="12"/>
      <c r="AN24" s="243"/>
      <c r="AO24" s="233"/>
      <c r="AP24" s="234"/>
      <c r="AQ24" s="232"/>
      <c r="AR24" s="244"/>
      <c r="AS24" s="243"/>
      <c r="AT24" s="233"/>
      <c r="AU24" s="234"/>
      <c r="AV24" s="232"/>
      <c r="AW24" s="244"/>
      <c r="AX24" s="243"/>
      <c r="AY24" s="233"/>
      <c r="AZ24" s="234"/>
      <c r="BA24" s="232"/>
      <c r="BB24" s="244"/>
    </row>
    <row r="25" spans="2:54" x14ac:dyDescent="0.25">
      <c r="B25" s="8"/>
      <c r="C25" s="30" t="str">
        <f>staging!B22</f>
        <v>Carton</v>
      </c>
      <c r="D25" s="30" t="str">
        <f>staging!C22</f>
        <v>CART524</v>
      </c>
      <c r="E25" s="31">
        <f>SUMIFS(staging!$I:$I,staging!$A:$A,"Top",staging!$C:$C,'price calculation'!D25)</f>
        <v>0</v>
      </c>
      <c r="F25" s="30" t="s">
        <v>83</v>
      </c>
      <c r="G25" s="32">
        <v>0.1</v>
      </c>
      <c r="H25" s="33">
        <f>VLOOKUP(D25,mat!$A:$B,2,0)</f>
        <v>0.50245098039215685</v>
      </c>
      <c r="I25" s="31">
        <f>VLOOKUP(D25,mat!$A:$C,3,0)*E25</f>
        <v>0</v>
      </c>
      <c r="J25" s="31"/>
      <c r="K25" s="33">
        <f t="shared" si="7"/>
        <v>0</v>
      </c>
      <c r="L25" s="12"/>
      <c r="O25" s="13"/>
      <c r="P25" s="34" t="str">
        <f>staging!B69</f>
        <v>Carton</v>
      </c>
      <c r="Q25" s="34" t="str">
        <f>staging!C69</f>
        <v>CART524</v>
      </c>
      <c r="R25" s="35">
        <f>SUMIFS(staging!$I:$I,staging!$A:$A,"Intermediate",staging!$C:$C,'price calculation'!Q25)</f>
        <v>0</v>
      </c>
      <c r="S25" s="34" t="s">
        <v>83</v>
      </c>
      <c r="T25" s="36">
        <v>0.1</v>
      </c>
      <c r="U25" s="37">
        <f>VLOOKUP(Q25,mat!$A:$B,2,0)</f>
        <v>0.50245098039215685</v>
      </c>
      <c r="V25" s="35">
        <f>VLOOKUP(Q25,mat!$A:$C,3,0)*R25</f>
        <v>0</v>
      </c>
      <c r="W25" s="35"/>
      <c r="X25" s="37">
        <f>R25*U25*(1+T25)</f>
        <v>0</v>
      </c>
      <c r="Y25" s="17"/>
      <c r="AB25" s="8"/>
      <c r="AC25" s="30" t="str">
        <f>staging!B95</f>
        <v>Carton</v>
      </c>
      <c r="AD25" s="30" t="str">
        <f>staging!C95</f>
        <v>CART524</v>
      </c>
      <c r="AE25" s="31">
        <f>SUMIFS(staging!$I:$I,staging!$A:$A,"Bottom",staging!$C:$C,'price calculation'!AD25)</f>
        <v>0</v>
      </c>
      <c r="AF25" s="30" t="s">
        <v>83</v>
      </c>
      <c r="AG25" s="32">
        <v>0.1</v>
      </c>
      <c r="AH25" s="33">
        <f>VLOOKUP(AD25,mat!$A:$B,2,0)</f>
        <v>0.50245098039215685</v>
      </c>
      <c r="AI25" s="31">
        <f>VLOOKUP(AD25,mat!$A:$C,3,0)*AE25</f>
        <v>0</v>
      </c>
      <c r="AJ25" s="31"/>
      <c r="AK25" s="33">
        <f t="shared" si="6"/>
        <v>0</v>
      </c>
      <c r="AL25" s="12"/>
      <c r="AN25" s="243"/>
      <c r="AO25" s="233"/>
      <c r="AP25" s="234"/>
      <c r="AQ25" s="232"/>
      <c r="AR25" s="244"/>
      <c r="AS25" s="243"/>
      <c r="AT25" s="233"/>
      <c r="AU25" s="234"/>
      <c r="AV25" s="232"/>
      <c r="AW25" s="244"/>
      <c r="AX25" s="243"/>
      <c r="AY25" s="233"/>
      <c r="AZ25" s="234"/>
      <c r="BA25" s="232"/>
      <c r="BB25" s="244"/>
    </row>
    <row r="26" spans="2:54" x14ac:dyDescent="0.25">
      <c r="B26" s="8"/>
      <c r="C26" s="30" t="str">
        <f>staging!B23</f>
        <v>Wooden Plank</v>
      </c>
      <c r="D26" s="30" t="str">
        <f>staging!C23</f>
        <v>WOOD525</v>
      </c>
      <c r="E26" s="31">
        <f>SUMIFS(staging!$I:$I,staging!$A:$A,"Top",staging!$C:$C,'price calculation'!D26)</f>
        <v>0</v>
      </c>
      <c r="F26" s="30" t="s">
        <v>83</v>
      </c>
      <c r="G26" s="32">
        <v>0</v>
      </c>
      <c r="H26" s="33">
        <f>VLOOKUP(D26,mat!$A:$B,2,0)</f>
        <v>0.72303921568627449</v>
      </c>
      <c r="I26" s="31">
        <f>VLOOKUP(D26,mat!$A:$C,3,0)*E26</f>
        <v>0</v>
      </c>
      <c r="J26" s="31"/>
      <c r="K26" s="33">
        <f t="shared" si="7"/>
        <v>0</v>
      </c>
      <c r="L26" s="12"/>
      <c r="O26" s="13"/>
      <c r="P26" s="34" t="str">
        <f>staging!B70</f>
        <v>Wooden Plank</v>
      </c>
      <c r="Q26" s="34" t="str">
        <f>staging!C70</f>
        <v>WOOD525</v>
      </c>
      <c r="R26" s="35">
        <f>SUMIFS(staging!$I:$I,staging!$A:$A,"Intermediate",staging!$C:$C,'price calculation'!Q26)</f>
        <v>0</v>
      </c>
      <c r="S26" s="34" t="s">
        <v>83</v>
      </c>
      <c r="T26" s="36">
        <v>0</v>
      </c>
      <c r="U26" s="37">
        <f>VLOOKUP(Q26,mat!$A:$B,2,0)</f>
        <v>0.72303921568627449</v>
      </c>
      <c r="V26" s="35">
        <f>VLOOKUP(Q26,mat!$A:$C,3,0)*R26</f>
        <v>0</v>
      </c>
      <c r="W26" s="35"/>
      <c r="X26" s="37">
        <f>R26*U26*(1+T26)</f>
        <v>0</v>
      </c>
      <c r="Y26" s="17"/>
      <c r="AB26" s="8"/>
      <c r="AC26" s="30" t="str">
        <f>staging!B96</f>
        <v>Wooden Plank</v>
      </c>
      <c r="AD26" s="30" t="str">
        <f>staging!C96</f>
        <v>WOOD525</v>
      </c>
      <c r="AE26" s="31">
        <f>SUMIFS(staging!$I:$I,staging!$A:$A,"Bottom",staging!$C:$C,'price calculation'!AD26)</f>
        <v>0</v>
      </c>
      <c r="AF26" s="30" t="s">
        <v>83</v>
      </c>
      <c r="AG26" s="32">
        <v>0</v>
      </c>
      <c r="AH26" s="33">
        <f>VLOOKUP(AD26,mat!$A:$B,2,0)</f>
        <v>0.72303921568627449</v>
      </c>
      <c r="AI26" s="31">
        <f>VLOOKUP(AD26,mat!$A:$C,3,0)*AE26</f>
        <v>0</v>
      </c>
      <c r="AJ26" s="31"/>
      <c r="AK26" s="33">
        <f t="shared" si="6"/>
        <v>0</v>
      </c>
      <c r="AL26" s="12"/>
      <c r="AN26" s="243"/>
      <c r="AO26" s="233"/>
      <c r="AP26" s="234"/>
      <c r="AQ26" s="232"/>
      <c r="AR26" s="244"/>
      <c r="AS26" s="243"/>
      <c r="AT26" s="233"/>
      <c r="AU26" s="234"/>
      <c r="AV26" s="232"/>
      <c r="AW26" s="244"/>
      <c r="AX26" s="243"/>
      <c r="AY26" s="233"/>
      <c r="AZ26" s="234"/>
      <c r="BA26" s="232"/>
      <c r="BB26" s="244"/>
    </row>
    <row r="27" spans="2:54" x14ac:dyDescent="0.25">
      <c r="B27" s="8"/>
      <c r="C27" s="30" t="str">
        <f>staging!B24</f>
        <v>adhesive tape "FRAGILE"</v>
      </c>
      <c r="D27" s="30" t="str">
        <f>staging!C24</f>
        <v>AUX519</v>
      </c>
      <c r="E27" s="31">
        <f>SUMIFS(staging!$I:$I,staging!$A:$A,"Top",staging!$C:$C,'price calculation'!D27)</f>
        <v>0</v>
      </c>
      <c r="F27" s="30" t="s">
        <v>81</v>
      </c>
      <c r="G27" s="32">
        <v>0</v>
      </c>
      <c r="H27" s="33">
        <f>VLOOKUP(D27,mat!$A:$B,2,0)</f>
        <v>0.1482702205882353</v>
      </c>
      <c r="I27" s="31">
        <f>VLOOKUP(D27,mat!$A:$C,3,0)*E27</f>
        <v>0</v>
      </c>
      <c r="J27" s="31"/>
      <c r="K27" s="33">
        <f t="shared" si="7"/>
        <v>0</v>
      </c>
      <c r="L27" s="12"/>
      <c r="O27" s="13"/>
      <c r="P27" s="34" t="str">
        <f>staging!B71</f>
        <v>adhesive tape "FRAGILE"</v>
      </c>
      <c r="Q27" s="34" t="str">
        <f>staging!C71</f>
        <v>AUX519</v>
      </c>
      <c r="R27" s="35">
        <f>SUMIFS(staging!$I:$I,staging!$A:$A,"Intermediate",staging!$C:$C,'price calculation'!Q27)</f>
        <v>0</v>
      </c>
      <c r="S27" s="34" t="s">
        <v>81</v>
      </c>
      <c r="T27" s="36">
        <v>0</v>
      </c>
      <c r="U27" s="37">
        <f>VLOOKUP(Q27,mat!$A:$B,2,0)</f>
        <v>0.1482702205882353</v>
      </c>
      <c r="V27" s="35">
        <f>VLOOKUP(Q27,mat!$A:$C,3,0)*R27</f>
        <v>0</v>
      </c>
      <c r="W27" s="35"/>
      <c r="X27" s="37">
        <f t="shared" ref="X27:X29" si="8">R27*U27*(1+T27)</f>
        <v>0</v>
      </c>
      <c r="Y27" s="17"/>
      <c r="AB27" s="8"/>
      <c r="AC27" s="30" t="str">
        <f>staging!B97</f>
        <v>adhesive tape "FRAGILE"</v>
      </c>
      <c r="AD27" s="30" t="str">
        <f>staging!C97</f>
        <v>AUX519</v>
      </c>
      <c r="AE27" s="31">
        <f>SUMIFS(staging!$I:$I,staging!$A:$A,"Bottom",staging!$C:$C,'price calculation'!AD27)</f>
        <v>0</v>
      </c>
      <c r="AF27" s="30" t="s">
        <v>81</v>
      </c>
      <c r="AG27" s="32">
        <v>0</v>
      </c>
      <c r="AH27" s="33">
        <f>VLOOKUP(AD27,mat!$A:$B,2,0)</f>
        <v>0.1482702205882353</v>
      </c>
      <c r="AI27" s="31">
        <f>VLOOKUP(AD27,mat!$A:$C,3,0)*AE27</f>
        <v>0</v>
      </c>
      <c r="AJ27" s="31"/>
      <c r="AK27" s="33">
        <f t="shared" ref="AK27:AK29" si="9">AE27*AH27*(1+AG27)</f>
        <v>0</v>
      </c>
      <c r="AL27" s="12"/>
      <c r="AN27" s="243"/>
      <c r="AO27" s="233"/>
      <c r="AP27" s="234"/>
      <c r="AQ27" s="232"/>
      <c r="AR27" s="244"/>
      <c r="AS27" s="243"/>
      <c r="AT27" s="233"/>
      <c r="AU27" s="234"/>
      <c r="AV27" s="232"/>
      <c r="AW27" s="244"/>
      <c r="AX27" s="243"/>
      <c r="AY27" s="233"/>
      <c r="AZ27" s="234"/>
      <c r="BA27" s="232"/>
      <c r="BB27" s="244"/>
    </row>
    <row r="28" spans="2:54" x14ac:dyDescent="0.25">
      <c r="B28" s="8"/>
      <c r="C28" s="30" t="str">
        <f>staging!B25</f>
        <v>Pallet 2500 x 650</v>
      </c>
      <c r="D28" s="30" t="str">
        <f>staging!C25</f>
        <v>WOOD549</v>
      </c>
      <c r="E28" s="31">
        <f>SUMIFS(staging!$I:$I,staging!$A:$A,"Top",staging!$C:$C,'price calculation'!D28)</f>
        <v>0</v>
      </c>
      <c r="F28" s="30" t="s">
        <v>83</v>
      </c>
      <c r="G28" s="32">
        <v>0</v>
      </c>
      <c r="H28" s="33">
        <f>VLOOKUP(D28,mat!$A:$B,2,0)</f>
        <v>27.573529411764707</v>
      </c>
      <c r="I28" s="31">
        <f>VLOOKUP(D28,mat!$A:$C,3,0)*E28</f>
        <v>0</v>
      </c>
      <c r="J28" s="31"/>
      <c r="K28" s="33">
        <f t="shared" si="7"/>
        <v>0</v>
      </c>
      <c r="L28" s="12"/>
      <c r="O28" s="13"/>
      <c r="P28" s="34" t="str">
        <f>staging!B72</f>
        <v>Pallet 2500 x 650</v>
      </c>
      <c r="Q28" s="34" t="str">
        <f>staging!C72</f>
        <v>WOOD549</v>
      </c>
      <c r="R28" s="35">
        <f>SUMIFS(staging!$I:$I,staging!$A:$A,"Intermediate",staging!$C:$C,'price calculation'!Q28)</f>
        <v>0</v>
      </c>
      <c r="S28" s="34" t="s">
        <v>83</v>
      </c>
      <c r="T28" s="36">
        <v>0</v>
      </c>
      <c r="U28" s="37">
        <f>VLOOKUP(Q28,mat!$A:$B,2,0)</f>
        <v>27.573529411764707</v>
      </c>
      <c r="V28" s="35">
        <f>VLOOKUP(Q28,mat!$A:$C,3,0)*R28</f>
        <v>0</v>
      </c>
      <c r="W28" s="35"/>
      <c r="X28" s="37">
        <f t="shared" si="8"/>
        <v>0</v>
      </c>
      <c r="Y28" s="17"/>
      <c r="AB28" s="8"/>
      <c r="AC28" s="30" t="str">
        <f>staging!B98</f>
        <v>Pallet 2500 x 650</v>
      </c>
      <c r="AD28" s="30" t="str">
        <f>staging!C98</f>
        <v>WOOD549</v>
      </c>
      <c r="AE28" s="31">
        <f>SUMIFS(staging!$I:$I,staging!$A:$A,"Bottom",staging!$C:$C,'price calculation'!AD28)</f>
        <v>0</v>
      </c>
      <c r="AF28" s="30" t="s">
        <v>83</v>
      </c>
      <c r="AG28" s="32">
        <v>0</v>
      </c>
      <c r="AH28" s="33">
        <f>VLOOKUP(AD28,mat!$A:$B,2,0)</f>
        <v>27.573529411764707</v>
      </c>
      <c r="AI28" s="31">
        <f>VLOOKUP(AD28,mat!$A:$C,3,0)*AE28</f>
        <v>0</v>
      </c>
      <c r="AJ28" s="31"/>
      <c r="AK28" s="33">
        <f t="shared" si="9"/>
        <v>0</v>
      </c>
      <c r="AL28" s="12"/>
      <c r="AN28" s="243"/>
      <c r="AO28" s="233"/>
      <c r="AP28" s="234"/>
      <c r="AQ28" s="232"/>
      <c r="AR28" s="244"/>
      <c r="AS28" s="243"/>
      <c r="AT28" s="233"/>
      <c r="AU28" s="234"/>
      <c r="AV28" s="232"/>
      <c r="AW28" s="244"/>
      <c r="AX28" s="243"/>
      <c r="AY28" s="233"/>
      <c r="AZ28" s="234"/>
      <c r="BA28" s="232"/>
      <c r="BB28" s="244"/>
    </row>
    <row r="29" spans="2:54" x14ac:dyDescent="0.25">
      <c r="B29" s="8"/>
      <c r="C29" s="38" t="str">
        <f>staging!B26</f>
        <v>Pallet 4000 x 650</v>
      </c>
      <c r="D29" s="38" t="str">
        <f>staging!C26</f>
        <v>WOOD550</v>
      </c>
      <c r="E29" s="39">
        <f>SUMIFS(staging!$I:$I,staging!$A:$A,"Top",staging!$C:$C,'price calculation'!D29)</f>
        <v>0</v>
      </c>
      <c r="F29" s="38" t="s">
        <v>83</v>
      </c>
      <c r="G29" s="40">
        <v>0</v>
      </c>
      <c r="H29" s="41">
        <f>VLOOKUP(D29,mat!$A:$B,2,0)</f>
        <v>36.764705882352942</v>
      </c>
      <c r="I29" s="39">
        <f>VLOOKUP(D29,mat!$A:$C,3,0)*E29</f>
        <v>0</v>
      </c>
      <c r="J29" s="39"/>
      <c r="K29" s="41">
        <f t="shared" si="7"/>
        <v>0</v>
      </c>
      <c r="L29" s="12"/>
      <c r="O29" s="13"/>
      <c r="P29" s="42" t="str">
        <f>staging!B73</f>
        <v>Pallet 4000 x 650</v>
      </c>
      <c r="Q29" s="42" t="str">
        <f>staging!C73</f>
        <v>WOOD550</v>
      </c>
      <c r="R29" s="43">
        <f>SUMIFS(staging!$I:$I,staging!$A:$A,"Intermediate",staging!$C:$C,'price calculation'!Q29)</f>
        <v>0</v>
      </c>
      <c r="S29" s="42" t="s">
        <v>83</v>
      </c>
      <c r="T29" s="44">
        <v>0</v>
      </c>
      <c r="U29" s="45">
        <f>VLOOKUP(Q29,mat!$A:$B,2,0)</f>
        <v>36.764705882352942</v>
      </c>
      <c r="V29" s="43">
        <f>VLOOKUP(Q29,mat!$A:$C,3,0)*R29</f>
        <v>0</v>
      </c>
      <c r="W29" s="43"/>
      <c r="X29" s="45">
        <f t="shared" si="8"/>
        <v>0</v>
      </c>
      <c r="Y29" s="17"/>
      <c r="AB29" s="8"/>
      <c r="AC29" s="38" t="str">
        <f>staging!B99</f>
        <v>Pallet 4000 x 650</v>
      </c>
      <c r="AD29" s="38" t="str">
        <f>staging!C99</f>
        <v>WOOD550</v>
      </c>
      <c r="AE29" s="39">
        <f>SUMIFS(staging!$I:$I,staging!$A:$A,"Bottom",staging!$C:$C,'price calculation'!AD29)</f>
        <v>0</v>
      </c>
      <c r="AF29" s="38" t="s">
        <v>83</v>
      </c>
      <c r="AG29" s="40">
        <v>0</v>
      </c>
      <c r="AH29" s="41">
        <f>VLOOKUP(AD29,mat!$A:$B,2,0)</f>
        <v>36.764705882352942</v>
      </c>
      <c r="AI29" s="39">
        <f>VLOOKUP(AD29,mat!$A:$C,3,0)*AE29</f>
        <v>0</v>
      </c>
      <c r="AJ29" s="39"/>
      <c r="AK29" s="41">
        <f t="shared" si="9"/>
        <v>0</v>
      </c>
      <c r="AL29" s="12"/>
      <c r="AN29" s="243"/>
      <c r="AO29" s="232"/>
      <c r="AP29" s="232"/>
      <c r="AQ29" s="232"/>
      <c r="AR29" s="245"/>
      <c r="AS29" s="243"/>
      <c r="AT29" s="232"/>
      <c r="AU29" s="232"/>
      <c r="AV29" s="232"/>
      <c r="AW29" s="245"/>
      <c r="AX29" s="243"/>
      <c r="AY29" s="232"/>
      <c r="AZ29" s="232"/>
      <c r="BA29" s="232"/>
      <c r="BB29" s="245"/>
    </row>
    <row r="30" spans="2:54" ht="6" customHeight="1" x14ac:dyDescent="0.25">
      <c r="B30" s="8"/>
      <c r="C30" s="46"/>
      <c r="D30" s="46"/>
      <c r="E30" s="46"/>
      <c r="F30" s="46"/>
      <c r="G30" s="46"/>
      <c r="H30" s="46"/>
      <c r="I30" s="46"/>
      <c r="J30" s="46"/>
      <c r="K30" s="46"/>
      <c r="L30" s="12"/>
      <c r="O30" s="13"/>
      <c r="P30" s="47"/>
      <c r="Q30" s="47"/>
      <c r="R30" s="47"/>
      <c r="S30" s="47"/>
      <c r="T30" s="47"/>
      <c r="U30" s="47"/>
      <c r="V30" s="47"/>
      <c r="W30" s="47"/>
      <c r="X30" s="47"/>
      <c r="Y30" s="17"/>
      <c r="AB30" s="8"/>
      <c r="AC30" s="46"/>
      <c r="AD30" s="46"/>
      <c r="AE30" s="46"/>
      <c r="AF30" s="46"/>
      <c r="AG30" s="46"/>
      <c r="AH30" s="46"/>
      <c r="AI30" s="46"/>
      <c r="AJ30" s="46"/>
      <c r="AK30" s="46"/>
      <c r="AL30" s="12"/>
      <c r="AN30" s="138"/>
      <c r="AR30" s="167"/>
      <c r="AS30" s="138"/>
      <c r="AW30" s="167"/>
      <c r="AX30" s="138"/>
      <c r="BB30" s="167"/>
    </row>
    <row r="31" spans="2:54" ht="15.75" thickBot="1" x14ac:dyDescent="0.3">
      <c r="B31" s="8"/>
      <c r="C31" s="48" t="s">
        <v>106</v>
      </c>
      <c r="D31" s="49"/>
      <c r="E31" s="49"/>
      <c r="F31" s="49"/>
      <c r="G31" s="49"/>
      <c r="H31" s="49"/>
      <c r="I31" s="49"/>
      <c r="J31" s="49"/>
      <c r="K31" s="50">
        <f>SUM(K6:K29)</f>
        <v>0</v>
      </c>
      <c r="L31" s="12"/>
      <c r="O31" s="13"/>
      <c r="P31" s="51" t="s">
        <v>106</v>
      </c>
      <c r="Q31" s="52"/>
      <c r="R31" s="52"/>
      <c r="S31" s="52"/>
      <c r="T31" s="52"/>
      <c r="U31" s="52"/>
      <c r="V31" s="52"/>
      <c r="W31" s="52"/>
      <c r="X31" s="53">
        <f>SUM(X6:X29)</f>
        <v>0</v>
      </c>
      <c r="Y31" s="17"/>
      <c r="AB31" s="8"/>
      <c r="AC31" s="48" t="s">
        <v>106</v>
      </c>
      <c r="AD31" s="49"/>
      <c r="AE31" s="49"/>
      <c r="AF31" s="49"/>
      <c r="AG31" s="49"/>
      <c r="AH31" s="49"/>
      <c r="AI31" s="49"/>
      <c r="AJ31" s="49"/>
      <c r="AK31" s="50">
        <f>SUM(AK6:AK29)</f>
        <v>0</v>
      </c>
      <c r="AL31" s="12"/>
      <c r="AN31" s="150"/>
      <c r="AO31" s="152"/>
      <c r="AP31" s="152"/>
      <c r="AQ31" s="152"/>
      <c r="AR31" s="249">
        <f>SUM(AR6:AR29)</f>
        <v>0</v>
      </c>
      <c r="AS31" s="150"/>
      <c r="AT31" s="152"/>
      <c r="AU31" s="152"/>
      <c r="AV31" s="152"/>
      <c r="AW31" s="249">
        <f>SUM(AW6:AW29)</f>
        <v>0</v>
      </c>
      <c r="AX31" s="150"/>
      <c r="AY31" s="152"/>
      <c r="AZ31" s="152"/>
      <c r="BA31" s="152"/>
      <c r="BB31" s="249">
        <f>SUM(BB6:BB29)</f>
        <v>0</v>
      </c>
    </row>
    <row r="32" spans="2:54" ht="6" customHeight="1" thickBot="1" x14ac:dyDescent="0.3">
      <c r="B32" s="8"/>
      <c r="C32" s="46"/>
      <c r="D32" s="46"/>
      <c r="E32" s="46"/>
      <c r="F32" s="46"/>
      <c r="G32" s="46"/>
      <c r="H32" s="46"/>
      <c r="I32" s="46"/>
      <c r="J32" s="46"/>
      <c r="K32" s="46"/>
      <c r="L32" s="12"/>
      <c r="O32" s="13"/>
      <c r="P32" s="47"/>
      <c r="Q32" s="47"/>
      <c r="R32" s="47"/>
      <c r="S32" s="47"/>
      <c r="T32" s="47"/>
      <c r="U32" s="47"/>
      <c r="V32" s="47"/>
      <c r="W32" s="47"/>
      <c r="X32" s="47"/>
      <c r="Y32" s="17"/>
      <c r="AB32" s="8"/>
      <c r="AC32" s="46"/>
      <c r="AD32" s="46"/>
      <c r="AE32" s="46"/>
      <c r="AF32" s="46"/>
      <c r="AG32" s="46"/>
      <c r="AH32" s="46"/>
      <c r="AI32" s="46"/>
      <c r="AJ32" s="46"/>
      <c r="AK32" s="46"/>
      <c r="AL32" s="12"/>
    </row>
    <row r="33" spans="2:45" ht="18" thickBot="1" x14ac:dyDescent="0.3">
      <c r="B33" s="8"/>
      <c r="C33" s="20" t="s">
        <v>127</v>
      </c>
      <c r="D33" s="46"/>
      <c r="E33" s="46"/>
      <c r="F33" s="46"/>
      <c r="G33" s="46"/>
      <c r="H33" s="46"/>
      <c r="I33" s="46"/>
      <c r="J33" s="46"/>
      <c r="K33" s="46"/>
      <c r="L33" s="12"/>
      <c r="O33" s="13"/>
      <c r="P33" s="21" t="s">
        <v>127</v>
      </c>
      <c r="Q33" s="47"/>
      <c r="R33" s="47"/>
      <c r="S33" s="47"/>
      <c r="T33" s="47"/>
      <c r="U33" s="47"/>
      <c r="V33" s="47"/>
      <c r="W33" s="47"/>
      <c r="X33" s="47"/>
      <c r="Y33" s="17"/>
      <c r="AB33" s="8"/>
      <c r="AC33" s="20" t="s">
        <v>127</v>
      </c>
      <c r="AD33" s="46"/>
      <c r="AE33" s="46"/>
      <c r="AF33" s="46"/>
      <c r="AG33" s="46"/>
      <c r="AH33" s="46"/>
      <c r="AI33" s="46"/>
      <c r="AJ33" s="46"/>
      <c r="AK33" s="46"/>
      <c r="AL33" s="12"/>
      <c r="AN33" s="246" t="s">
        <v>272</v>
      </c>
      <c r="AO33" s="247"/>
      <c r="AP33" s="247"/>
      <c r="AQ33" s="247"/>
      <c r="AR33" s="248">
        <f>AR31+AW31+BB31</f>
        <v>0</v>
      </c>
      <c r="AS33" s="181" t="s">
        <v>273</v>
      </c>
    </row>
    <row r="34" spans="2:45" x14ac:dyDescent="0.25">
      <c r="B34" s="8"/>
      <c r="C34" s="54" t="s">
        <v>109</v>
      </c>
      <c r="D34" s="55">
        <f>SUMIF(staging!$A:$A,"Top",staging!$K:$K)</f>
        <v>0</v>
      </c>
      <c r="E34" s="56" t="s">
        <v>123</v>
      </c>
      <c r="F34" s="57">
        <f>VLOOKUP(C34,oper!$A:$B,2,0)</f>
        <v>5</v>
      </c>
      <c r="G34" s="55" t="s">
        <v>122</v>
      </c>
      <c r="H34" s="57">
        <f t="shared" ref="H34:H45" si="10">D34*F34</f>
        <v>0</v>
      </c>
      <c r="I34" s="58" t="s">
        <v>121</v>
      </c>
      <c r="J34" s="59"/>
      <c r="K34" s="46"/>
      <c r="L34" s="12"/>
      <c r="O34" s="13"/>
      <c r="P34" s="60" t="s">
        <v>109</v>
      </c>
      <c r="Q34" s="61">
        <f>SUMIF(staging!$A:$A,"Intermediate",staging!$K:$K)</f>
        <v>0</v>
      </c>
      <c r="R34" s="62" t="s">
        <v>123</v>
      </c>
      <c r="S34" s="63">
        <f>VLOOKUP(P34,oper!$A:$B,2,0)</f>
        <v>5</v>
      </c>
      <c r="T34" s="61" t="s">
        <v>122</v>
      </c>
      <c r="U34" s="63">
        <f t="shared" ref="U34:U45" si="11">Q34*S34</f>
        <v>0</v>
      </c>
      <c r="V34" s="64" t="s">
        <v>121</v>
      </c>
      <c r="W34" s="65"/>
      <c r="X34" s="47"/>
      <c r="Y34" s="17"/>
      <c r="AB34" s="8"/>
      <c r="AC34" s="54" t="s">
        <v>109</v>
      </c>
      <c r="AD34" s="55">
        <f>SUMIF(staging!$A:$A,"Bottom",staging!$K:$K)</f>
        <v>0</v>
      </c>
      <c r="AE34" s="56" t="s">
        <v>123</v>
      </c>
      <c r="AF34" s="57">
        <f>VLOOKUP(AC34,oper!$A:$B,2,0)</f>
        <v>5</v>
      </c>
      <c r="AG34" s="55" t="s">
        <v>122</v>
      </c>
      <c r="AH34" s="57">
        <f t="shared" ref="AH34:AH45" si="12">AD34*AF34</f>
        <v>0</v>
      </c>
      <c r="AI34" s="58" t="s">
        <v>121</v>
      </c>
      <c r="AJ34" s="59"/>
      <c r="AK34" s="46"/>
      <c r="AL34" s="12"/>
    </row>
    <row r="35" spans="2:45" x14ac:dyDescent="0.25">
      <c r="B35" s="8"/>
      <c r="C35" s="66" t="s">
        <v>107</v>
      </c>
      <c r="D35" s="59">
        <f>SUMIF(staging!$A:$A,"Top",staging!$L:$L)</f>
        <v>0</v>
      </c>
      <c r="E35" s="67" t="s">
        <v>123</v>
      </c>
      <c r="F35" s="68">
        <f>VLOOKUP(C35,oper!$A:$B,2,0)</f>
        <v>1</v>
      </c>
      <c r="G35" s="59" t="s">
        <v>122</v>
      </c>
      <c r="H35" s="68">
        <f t="shared" si="10"/>
        <v>0</v>
      </c>
      <c r="I35" s="69" t="s">
        <v>121</v>
      </c>
      <c r="J35" s="59"/>
      <c r="K35" s="46"/>
      <c r="L35" s="12"/>
      <c r="O35" s="13"/>
      <c r="P35" s="70" t="s">
        <v>107</v>
      </c>
      <c r="Q35" s="65">
        <f>SUMIF(staging!$A:$A,"Intermediate",staging!$L:$L)</f>
        <v>0</v>
      </c>
      <c r="R35" s="71" t="s">
        <v>123</v>
      </c>
      <c r="S35" s="72">
        <f>VLOOKUP(P35,oper!$A:$B,2,0)</f>
        <v>1</v>
      </c>
      <c r="T35" s="65" t="s">
        <v>122</v>
      </c>
      <c r="U35" s="72">
        <f t="shared" si="11"/>
        <v>0</v>
      </c>
      <c r="V35" s="73" t="s">
        <v>121</v>
      </c>
      <c r="W35" s="65"/>
      <c r="X35" s="47"/>
      <c r="Y35" s="17"/>
      <c r="AB35" s="8"/>
      <c r="AC35" s="66" t="s">
        <v>107</v>
      </c>
      <c r="AD35" s="59">
        <f>SUMIF(staging!$A:$A,"Bottom",staging!$L:$L)</f>
        <v>0</v>
      </c>
      <c r="AE35" s="67" t="s">
        <v>123</v>
      </c>
      <c r="AF35" s="68">
        <f>VLOOKUP(AC35,oper!$A:$B,2,0)</f>
        <v>1</v>
      </c>
      <c r="AG35" s="59" t="s">
        <v>122</v>
      </c>
      <c r="AH35" s="68">
        <f t="shared" si="12"/>
        <v>0</v>
      </c>
      <c r="AI35" s="69" t="s">
        <v>121</v>
      </c>
      <c r="AJ35" s="59"/>
      <c r="AK35" s="46"/>
      <c r="AL35" s="12"/>
    </row>
    <row r="36" spans="2:45" x14ac:dyDescent="0.25">
      <c r="B36" s="8"/>
      <c r="C36" s="66" t="s">
        <v>108</v>
      </c>
      <c r="D36" s="59">
        <f>SUMIF(staging!$A:$A,"Top",staging!$M:$M)</f>
        <v>0</v>
      </c>
      <c r="E36" s="67" t="s">
        <v>123</v>
      </c>
      <c r="F36" s="68">
        <f>VLOOKUP(C36,oper!$A:$B,2,0)</f>
        <v>3</v>
      </c>
      <c r="G36" s="59" t="s">
        <v>122</v>
      </c>
      <c r="H36" s="68">
        <f t="shared" si="10"/>
        <v>0</v>
      </c>
      <c r="I36" s="69" t="s">
        <v>121</v>
      </c>
      <c r="J36" s="59"/>
      <c r="K36" s="46"/>
      <c r="L36" s="12"/>
      <c r="O36" s="13"/>
      <c r="P36" s="70" t="s">
        <v>108</v>
      </c>
      <c r="Q36" s="65">
        <f>SUMIF(staging!$A:$A,"Intermediate",staging!$M:$M)</f>
        <v>0</v>
      </c>
      <c r="R36" s="71" t="s">
        <v>123</v>
      </c>
      <c r="S36" s="72">
        <f>VLOOKUP(P36,oper!$A:$B,2,0)</f>
        <v>3</v>
      </c>
      <c r="T36" s="65" t="s">
        <v>122</v>
      </c>
      <c r="U36" s="72">
        <f t="shared" si="11"/>
        <v>0</v>
      </c>
      <c r="V36" s="73" t="s">
        <v>121</v>
      </c>
      <c r="W36" s="65"/>
      <c r="X36" s="47"/>
      <c r="Y36" s="17"/>
      <c r="AB36" s="8"/>
      <c r="AC36" s="66" t="s">
        <v>108</v>
      </c>
      <c r="AD36" s="59">
        <f>SUMIF(staging!$A:$A,"Bottom",staging!$M:$M)</f>
        <v>0</v>
      </c>
      <c r="AE36" s="67" t="s">
        <v>123</v>
      </c>
      <c r="AF36" s="68">
        <f>VLOOKUP(AC36,oper!$A:$B,2,0)</f>
        <v>3</v>
      </c>
      <c r="AG36" s="59" t="s">
        <v>122</v>
      </c>
      <c r="AH36" s="68">
        <f t="shared" si="12"/>
        <v>0</v>
      </c>
      <c r="AI36" s="69" t="s">
        <v>121</v>
      </c>
      <c r="AJ36" s="59"/>
      <c r="AK36" s="46"/>
      <c r="AL36" s="12"/>
    </row>
    <row r="37" spans="2:45" x14ac:dyDescent="0.25">
      <c r="B37" s="8"/>
      <c r="C37" s="66" t="s">
        <v>114</v>
      </c>
      <c r="D37" s="59">
        <f>SUMIF(staging!$A:$A,"Top",staging!$N:$N)</f>
        <v>0</v>
      </c>
      <c r="E37" s="67" t="s">
        <v>123</v>
      </c>
      <c r="F37" s="68">
        <f>VLOOKUP(C37,oper!$A:$B,2,0)</f>
        <v>1.5</v>
      </c>
      <c r="G37" s="59" t="s">
        <v>122</v>
      </c>
      <c r="H37" s="68">
        <f t="shared" si="10"/>
        <v>0</v>
      </c>
      <c r="I37" s="69" t="s">
        <v>121</v>
      </c>
      <c r="J37" s="59"/>
      <c r="K37" s="46"/>
      <c r="L37" s="12"/>
      <c r="O37" s="13"/>
      <c r="P37" s="70" t="s">
        <v>114</v>
      </c>
      <c r="Q37" s="65">
        <f>SUMIF(staging!$A:$A,"Intermediate",staging!$N:$N)</f>
        <v>0</v>
      </c>
      <c r="R37" s="71" t="s">
        <v>123</v>
      </c>
      <c r="S37" s="72">
        <f>VLOOKUP(P37,oper!$A:$B,2,0)</f>
        <v>1.5</v>
      </c>
      <c r="T37" s="65" t="s">
        <v>122</v>
      </c>
      <c r="U37" s="72">
        <f t="shared" si="11"/>
        <v>0</v>
      </c>
      <c r="V37" s="73" t="s">
        <v>121</v>
      </c>
      <c r="W37" s="65"/>
      <c r="X37" s="47"/>
      <c r="Y37" s="17"/>
      <c r="AB37" s="8"/>
      <c r="AC37" s="66" t="s">
        <v>114</v>
      </c>
      <c r="AD37" s="59">
        <f>SUMIF(staging!$A:$A,"Bottom",staging!$N:$N)</f>
        <v>0</v>
      </c>
      <c r="AE37" s="67" t="s">
        <v>123</v>
      </c>
      <c r="AF37" s="68">
        <f>VLOOKUP(AC37,oper!$A:$B,2,0)</f>
        <v>1.5</v>
      </c>
      <c r="AG37" s="59" t="s">
        <v>122</v>
      </c>
      <c r="AH37" s="68">
        <f t="shared" si="12"/>
        <v>0</v>
      </c>
      <c r="AI37" s="69" t="s">
        <v>121</v>
      </c>
      <c r="AJ37" s="59"/>
      <c r="AK37" s="46"/>
      <c r="AL37" s="12"/>
    </row>
    <row r="38" spans="2:45" x14ac:dyDescent="0.25">
      <c r="B38" s="8"/>
      <c r="C38" s="66" t="s">
        <v>110</v>
      </c>
      <c r="D38" s="59">
        <f>SUMIF(staging!$A:$A,"Top",staging!$O:$O)</f>
        <v>0</v>
      </c>
      <c r="E38" s="67" t="s">
        <v>123</v>
      </c>
      <c r="F38" s="68">
        <f>VLOOKUP(C38,oper!$A:$B,2,0)</f>
        <v>1.5</v>
      </c>
      <c r="G38" s="59" t="s">
        <v>122</v>
      </c>
      <c r="H38" s="68">
        <f t="shared" si="10"/>
        <v>0</v>
      </c>
      <c r="I38" s="69" t="s">
        <v>121</v>
      </c>
      <c r="J38" s="59"/>
      <c r="K38" s="46"/>
      <c r="L38" s="12"/>
      <c r="O38" s="13"/>
      <c r="P38" s="70" t="s">
        <v>110</v>
      </c>
      <c r="Q38" s="65">
        <f>SUMIF(staging!$A:$A,"Intermediate",staging!$O:$O)</f>
        <v>0</v>
      </c>
      <c r="R38" s="71" t="s">
        <v>123</v>
      </c>
      <c r="S38" s="72">
        <f>VLOOKUP(P38,oper!$A:$B,2,0)</f>
        <v>1.5</v>
      </c>
      <c r="T38" s="65" t="s">
        <v>122</v>
      </c>
      <c r="U38" s="72">
        <f t="shared" si="11"/>
        <v>0</v>
      </c>
      <c r="V38" s="73" t="s">
        <v>121</v>
      </c>
      <c r="W38" s="65"/>
      <c r="X38" s="47"/>
      <c r="Y38" s="17"/>
      <c r="AB38" s="8"/>
      <c r="AC38" s="66" t="s">
        <v>110</v>
      </c>
      <c r="AD38" s="59">
        <f>SUMIF(staging!$A:$A,"Bottom",staging!$O:$O)</f>
        <v>0</v>
      </c>
      <c r="AE38" s="67" t="s">
        <v>123</v>
      </c>
      <c r="AF38" s="68">
        <f>VLOOKUP(AC38,oper!$A:$B,2,0)</f>
        <v>1.5</v>
      </c>
      <c r="AG38" s="59" t="s">
        <v>122</v>
      </c>
      <c r="AH38" s="68">
        <f t="shared" si="12"/>
        <v>0</v>
      </c>
      <c r="AI38" s="69" t="s">
        <v>121</v>
      </c>
      <c r="AJ38" s="59"/>
      <c r="AK38" s="46"/>
      <c r="AL38" s="12"/>
    </row>
    <row r="39" spans="2:45" x14ac:dyDescent="0.25">
      <c r="B39" s="8"/>
      <c r="C39" s="66" t="s">
        <v>111</v>
      </c>
      <c r="D39" s="59">
        <f>SUMIF(staging!$A:$A,"Top",staging!$P:$P)</f>
        <v>0</v>
      </c>
      <c r="E39" s="67" t="s">
        <v>123</v>
      </c>
      <c r="F39" s="68">
        <f>VLOOKUP(C39,oper!$A:$B,2,0)</f>
        <v>0.5</v>
      </c>
      <c r="G39" s="59" t="s">
        <v>122</v>
      </c>
      <c r="H39" s="68">
        <f t="shared" si="10"/>
        <v>0</v>
      </c>
      <c r="I39" s="69" t="s">
        <v>121</v>
      </c>
      <c r="J39" s="59"/>
      <c r="K39" s="46"/>
      <c r="L39" s="12"/>
      <c r="O39" s="13"/>
      <c r="P39" s="70" t="s">
        <v>111</v>
      </c>
      <c r="Q39" s="65">
        <f>SUMIF(staging!$A:$A,"Intermediate",staging!$P:$P)</f>
        <v>0</v>
      </c>
      <c r="R39" s="71" t="s">
        <v>123</v>
      </c>
      <c r="S39" s="72">
        <f>VLOOKUP(P39,oper!$A:$B,2,0)</f>
        <v>0.5</v>
      </c>
      <c r="T39" s="65" t="s">
        <v>122</v>
      </c>
      <c r="U39" s="72">
        <f t="shared" si="11"/>
        <v>0</v>
      </c>
      <c r="V39" s="73" t="s">
        <v>121</v>
      </c>
      <c r="W39" s="65"/>
      <c r="X39" s="47"/>
      <c r="Y39" s="17"/>
      <c r="AB39" s="8"/>
      <c r="AC39" s="66" t="s">
        <v>111</v>
      </c>
      <c r="AD39" s="59">
        <f>SUMIF(staging!$A:$A,"Bottom",staging!$P:$P)</f>
        <v>0</v>
      </c>
      <c r="AE39" s="67" t="s">
        <v>123</v>
      </c>
      <c r="AF39" s="68">
        <f>VLOOKUP(AC39,oper!$A:$B,2,0)</f>
        <v>0.5</v>
      </c>
      <c r="AG39" s="59" t="s">
        <v>122</v>
      </c>
      <c r="AH39" s="68">
        <f t="shared" si="12"/>
        <v>0</v>
      </c>
      <c r="AI39" s="69" t="s">
        <v>121</v>
      </c>
      <c r="AJ39" s="59"/>
      <c r="AK39" s="46"/>
      <c r="AL39" s="12"/>
    </row>
    <row r="40" spans="2:45" x14ac:dyDescent="0.25">
      <c r="B40" s="8"/>
      <c r="C40" s="66" t="s">
        <v>112</v>
      </c>
      <c r="D40" s="59">
        <f>SUMIF(staging!$A:$A,"Top",staging!$Q:$Q)</f>
        <v>0</v>
      </c>
      <c r="E40" s="67" t="s">
        <v>123</v>
      </c>
      <c r="F40" s="68">
        <f>VLOOKUP(C40,oper!$A:$B,2,0)</f>
        <v>0.5</v>
      </c>
      <c r="G40" s="59" t="s">
        <v>122</v>
      </c>
      <c r="H40" s="68">
        <f t="shared" si="10"/>
        <v>0</v>
      </c>
      <c r="I40" s="69" t="s">
        <v>121</v>
      </c>
      <c r="J40" s="59"/>
      <c r="K40" s="46"/>
      <c r="L40" s="12"/>
      <c r="O40" s="13"/>
      <c r="P40" s="70" t="s">
        <v>112</v>
      </c>
      <c r="Q40" s="65">
        <f>SUMIF(staging!$A:$A,"Intermediate",staging!$Q:$Q)</f>
        <v>0</v>
      </c>
      <c r="R40" s="71" t="s">
        <v>123</v>
      </c>
      <c r="S40" s="72">
        <f>VLOOKUP(P40,oper!$A:$B,2,0)</f>
        <v>0.5</v>
      </c>
      <c r="T40" s="65" t="s">
        <v>122</v>
      </c>
      <c r="U40" s="72">
        <f t="shared" si="11"/>
        <v>0</v>
      </c>
      <c r="V40" s="73" t="s">
        <v>121</v>
      </c>
      <c r="W40" s="65"/>
      <c r="X40" s="47"/>
      <c r="Y40" s="17"/>
      <c r="AB40" s="8"/>
      <c r="AC40" s="66" t="s">
        <v>112</v>
      </c>
      <c r="AD40" s="59">
        <f>SUMIF(staging!$A:$A,"Bottom",staging!$Q:$Q)</f>
        <v>0</v>
      </c>
      <c r="AE40" s="67" t="s">
        <v>123</v>
      </c>
      <c r="AF40" s="68">
        <f>VLOOKUP(AC40,oper!$A:$B,2,0)</f>
        <v>0.5</v>
      </c>
      <c r="AG40" s="59" t="s">
        <v>122</v>
      </c>
      <c r="AH40" s="68">
        <f t="shared" si="12"/>
        <v>0</v>
      </c>
      <c r="AI40" s="69" t="s">
        <v>121</v>
      </c>
      <c r="AJ40" s="59"/>
      <c r="AK40" s="46"/>
      <c r="AL40" s="12"/>
    </row>
    <row r="41" spans="2:45" x14ac:dyDescent="0.25">
      <c r="B41" s="8"/>
      <c r="C41" s="66" t="s">
        <v>113</v>
      </c>
      <c r="D41" s="59">
        <f>SUMIF(staging!$A:$A,"Top",staging!$R:$R)</f>
        <v>0</v>
      </c>
      <c r="E41" s="67" t="s">
        <v>123</v>
      </c>
      <c r="F41" s="68">
        <f>VLOOKUP(C41,oper!$A:$B,2,0)</f>
        <v>8.5</v>
      </c>
      <c r="G41" s="59" t="s">
        <v>122</v>
      </c>
      <c r="H41" s="68">
        <f t="shared" si="10"/>
        <v>0</v>
      </c>
      <c r="I41" s="69" t="s">
        <v>121</v>
      </c>
      <c r="J41" s="59"/>
      <c r="K41" s="46"/>
      <c r="L41" s="12"/>
      <c r="O41" s="13"/>
      <c r="P41" s="70" t="s">
        <v>113</v>
      </c>
      <c r="Q41" s="65">
        <f>SUMIF(staging!$A:$A,"Intermediate",staging!$R:$R)</f>
        <v>0</v>
      </c>
      <c r="R41" s="71" t="s">
        <v>123</v>
      </c>
      <c r="S41" s="72">
        <f>VLOOKUP(P41,oper!$A:$B,2,0)</f>
        <v>8.5</v>
      </c>
      <c r="T41" s="65" t="s">
        <v>122</v>
      </c>
      <c r="U41" s="72">
        <f t="shared" si="11"/>
        <v>0</v>
      </c>
      <c r="V41" s="73" t="s">
        <v>121</v>
      </c>
      <c r="W41" s="65"/>
      <c r="X41" s="47"/>
      <c r="Y41" s="17"/>
      <c r="AB41" s="8"/>
      <c r="AC41" s="66" t="s">
        <v>113</v>
      </c>
      <c r="AD41" s="59">
        <f>SUMIF(staging!$A:$A,"Bottom",staging!$R:$R)</f>
        <v>0</v>
      </c>
      <c r="AE41" s="67" t="s">
        <v>123</v>
      </c>
      <c r="AF41" s="68">
        <f>VLOOKUP(AC41,oper!$A:$B,2,0)</f>
        <v>8.5</v>
      </c>
      <c r="AG41" s="59" t="s">
        <v>122</v>
      </c>
      <c r="AH41" s="68">
        <f t="shared" si="12"/>
        <v>0</v>
      </c>
      <c r="AI41" s="69" t="s">
        <v>121</v>
      </c>
      <c r="AJ41" s="59"/>
      <c r="AK41" s="46"/>
      <c r="AL41" s="12"/>
    </row>
    <row r="42" spans="2:45" x14ac:dyDescent="0.25">
      <c r="B42" s="8"/>
      <c r="C42" s="66" t="s">
        <v>115</v>
      </c>
      <c r="D42" s="59">
        <f>SUMIF(staging!$A:$A,"Top",staging!$S:$S)</f>
        <v>0</v>
      </c>
      <c r="E42" s="67" t="s">
        <v>123</v>
      </c>
      <c r="F42" s="68">
        <f>VLOOKUP(C42,oper!$A:$B,2,0)</f>
        <v>5</v>
      </c>
      <c r="G42" s="59" t="s">
        <v>122</v>
      </c>
      <c r="H42" s="68">
        <f t="shared" si="10"/>
        <v>0</v>
      </c>
      <c r="I42" s="69" t="s">
        <v>121</v>
      </c>
      <c r="J42" s="59"/>
      <c r="K42" s="46"/>
      <c r="L42" s="12"/>
      <c r="O42" s="13"/>
      <c r="P42" s="70" t="s">
        <v>115</v>
      </c>
      <c r="Q42" s="65">
        <f>SUMIF(staging!$A:$A,"Intermediate",staging!$S:$S)</f>
        <v>0</v>
      </c>
      <c r="R42" s="71" t="s">
        <v>123</v>
      </c>
      <c r="S42" s="72">
        <f>VLOOKUP(P42,oper!$A:$B,2,0)</f>
        <v>5</v>
      </c>
      <c r="T42" s="65" t="s">
        <v>122</v>
      </c>
      <c r="U42" s="72">
        <f t="shared" si="11"/>
        <v>0</v>
      </c>
      <c r="V42" s="73" t="s">
        <v>121</v>
      </c>
      <c r="W42" s="65"/>
      <c r="X42" s="47"/>
      <c r="Y42" s="17"/>
      <c r="AB42" s="8"/>
      <c r="AC42" s="66" t="s">
        <v>115</v>
      </c>
      <c r="AD42" s="59">
        <f>SUMIF(staging!$A:$A,"Bottom",staging!$S:$S)</f>
        <v>0</v>
      </c>
      <c r="AE42" s="67" t="s">
        <v>123</v>
      </c>
      <c r="AF42" s="68">
        <f>VLOOKUP(AC42,oper!$A:$B,2,0)</f>
        <v>5</v>
      </c>
      <c r="AG42" s="59" t="s">
        <v>122</v>
      </c>
      <c r="AH42" s="68">
        <f t="shared" si="12"/>
        <v>0</v>
      </c>
      <c r="AI42" s="69" t="s">
        <v>121</v>
      </c>
      <c r="AJ42" s="59"/>
      <c r="AK42" s="46"/>
      <c r="AL42" s="12"/>
    </row>
    <row r="43" spans="2:45" x14ac:dyDescent="0.25">
      <c r="B43" s="8"/>
      <c r="C43" s="66" t="s">
        <v>116</v>
      </c>
      <c r="D43" s="59">
        <f>SUMIF(staging!$A:$A,"Top",staging!$T:$T)</f>
        <v>0</v>
      </c>
      <c r="E43" s="67" t="s">
        <v>123</v>
      </c>
      <c r="F43" s="68">
        <f>VLOOKUP(C43,oper!$A:$B,2,0)</f>
        <v>2</v>
      </c>
      <c r="G43" s="59" t="s">
        <v>122</v>
      </c>
      <c r="H43" s="68">
        <f t="shared" si="10"/>
        <v>0</v>
      </c>
      <c r="I43" s="69" t="s">
        <v>121</v>
      </c>
      <c r="J43" s="59"/>
      <c r="K43" s="46"/>
      <c r="L43" s="12"/>
      <c r="O43" s="13"/>
      <c r="P43" s="70" t="s">
        <v>116</v>
      </c>
      <c r="Q43" s="65">
        <f>SUMIF(staging!$A:$A,"Intermediate",staging!$T:$T)</f>
        <v>0</v>
      </c>
      <c r="R43" s="71" t="s">
        <v>123</v>
      </c>
      <c r="S43" s="72">
        <f>VLOOKUP(P43,oper!$A:$B,2,0)</f>
        <v>2</v>
      </c>
      <c r="T43" s="65" t="s">
        <v>122</v>
      </c>
      <c r="U43" s="72">
        <f t="shared" si="11"/>
        <v>0</v>
      </c>
      <c r="V43" s="73" t="s">
        <v>121</v>
      </c>
      <c r="W43" s="65"/>
      <c r="X43" s="47"/>
      <c r="Y43" s="17"/>
      <c r="AB43" s="8"/>
      <c r="AC43" s="66" t="s">
        <v>116</v>
      </c>
      <c r="AD43" s="59">
        <f>SUMIF(staging!$A:$A,"Bottom",staging!$T:$T)</f>
        <v>0</v>
      </c>
      <c r="AE43" s="67" t="s">
        <v>123</v>
      </c>
      <c r="AF43" s="68">
        <f>VLOOKUP(AC43,oper!$A:$B,2,0)</f>
        <v>2</v>
      </c>
      <c r="AG43" s="59" t="s">
        <v>122</v>
      </c>
      <c r="AH43" s="68">
        <f t="shared" si="12"/>
        <v>0</v>
      </c>
      <c r="AI43" s="69" t="s">
        <v>121</v>
      </c>
      <c r="AJ43" s="59"/>
      <c r="AK43" s="46"/>
      <c r="AL43" s="12"/>
    </row>
    <row r="44" spans="2:45" x14ac:dyDescent="0.25">
      <c r="B44" s="8"/>
      <c r="C44" s="66" t="s">
        <v>117</v>
      </c>
      <c r="D44" s="59">
        <f>SUMIF(staging!$A:$A,"Top",staging!$U:$U)</f>
        <v>0</v>
      </c>
      <c r="E44" s="67" t="s">
        <v>123</v>
      </c>
      <c r="F44" s="68">
        <f>VLOOKUP(C44,oper!$A:$B,2,0)</f>
        <v>3</v>
      </c>
      <c r="G44" s="59" t="s">
        <v>122</v>
      </c>
      <c r="H44" s="68">
        <f t="shared" si="10"/>
        <v>0</v>
      </c>
      <c r="I44" s="69" t="s">
        <v>121</v>
      </c>
      <c r="J44" s="59"/>
      <c r="K44" s="46"/>
      <c r="L44" s="12"/>
      <c r="O44" s="13"/>
      <c r="P44" s="70" t="s">
        <v>117</v>
      </c>
      <c r="Q44" s="65">
        <f>SUMIF(staging!$A:$A,"Intermediate",staging!$U:$U)</f>
        <v>0</v>
      </c>
      <c r="R44" s="71" t="s">
        <v>123</v>
      </c>
      <c r="S44" s="72">
        <f>VLOOKUP(P44,oper!$A:$B,2,0)</f>
        <v>3</v>
      </c>
      <c r="T44" s="65" t="s">
        <v>122</v>
      </c>
      <c r="U44" s="72">
        <f t="shared" si="11"/>
        <v>0</v>
      </c>
      <c r="V44" s="73" t="s">
        <v>121</v>
      </c>
      <c r="W44" s="65"/>
      <c r="X44" s="47"/>
      <c r="Y44" s="17"/>
      <c r="AB44" s="8"/>
      <c r="AC44" s="66" t="s">
        <v>117</v>
      </c>
      <c r="AD44" s="59">
        <f>SUMIF(staging!$A:$A,"Bottom",staging!$U:$U)</f>
        <v>0</v>
      </c>
      <c r="AE44" s="67" t="s">
        <v>123</v>
      </c>
      <c r="AF44" s="68">
        <f>VLOOKUP(AC44,oper!$A:$B,2,0)</f>
        <v>3</v>
      </c>
      <c r="AG44" s="59" t="s">
        <v>122</v>
      </c>
      <c r="AH44" s="68">
        <f t="shared" si="12"/>
        <v>0</v>
      </c>
      <c r="AI44" s="69" t="s">
        <v>121</v>
      </c>
      <c r="AJ44" s="59"/>
      <c r="AK44" s="46"/>
      <c r="AL44" s="12"/>
    </row>
    <row r="45" spans="2:45" x14ac:dyDescent="0.25">
      <c r="B45" s="8"/>
      <c r="C45" s="74" t="s">
        <v>118</v>
      </c>
      <c r="D45" s="75">
        <f>SUMIF(staging!$A:$A,"Top",staging!$V:$V)</f>
        <v>0</v>
      </c>
      <c r="E45" s="76" t="s">
        <v>123</v>
      </c>
      <c r="F45" s="77">
        <f>VLOOKUP(C45,oper!$A:$B,2,0)</f>
        <v>11</v>
      </c>
      <c r="G45" s="75" t="s">
        <v>122</v>
      </c>
      <c r="H45" s="77">
        <f t="shared" si="10"/>
        <v>0</v>
      </c>
      <c r="I45" s="78" t="s">
        <v>121</v>
      </c>
      <c r="J45" s="59"/>
      <c r="K45" s="46"/>
      <c r="L45" s="12"/>
      <c r="O45" s="13"/>
      <c r="P45" s="79" t="s">
        <v>118</v>
      </c>
      <c r="Q45" s="80">
        <f>SUMIF(staging!$A:$A,"Intermediate",staging!$V:$V)</f>
        <v>0</v>
      </c>
      <c r="R45" s="81" t="s">
        <v>123</v>
      </c>
      <c r="S45" s="82">
        <f>VLOOKUP(P45,oper!$A:$B,2,0)</f>
        <v>11</v>
      </c>
      <c r="T45" s="80" t="s">
        <v>122</v>
      </c>
      <c r="U45" s="82">
        <f t="shared" si="11"/>
        <v>0</v>
      </c>
      <c r="V45" s="83" t="s">
        <v>121</v>
      </c>
      <c r="W45" s="65"/>
      <c r="X45" s="47"/>
      <c r="Y45" s="17"/>
      <c r="AB45" s="8"/>
      <c r="AC45" s="74" t="s">
        <v>118</v>
      </c>
      <c r="AD45" s="75">
        <f>SUMIF(staging!$A:$A,"Bottom",staging!$V:$V)</f>
        <v>0</v>
      </c>
      <c r="AE45" s="76" t="s">
        <v>123</v>
      </c>
      <c r="AF45" s="77">
        <f>VLOOKUP(AC45,oper!$A:$B,2,0)</f>
        <v>11</v>
      </c>
      <c r="AG45" s="75" t="s">
        <v>122</v>
      </c>
      <c r="AH45" s="77">
        <f t="shared" si="12"/>
        <v>0</v>
      </c>
      <c r="AI45" s="78" t="s">
        <v>121</v>
      </c>
      <c r="AJ45" s="59"/>
      <c r="AK45" s="46"/>
      <c r="AL45" s="12"/>
    </row>
    <row r="46" spans="2:45" ht="12.2" customHeight="1" x14ac:dyDescent="0.25">
      <c r="B46" s="8"/>
      <c r="C46" s="46"/>
      <c r="D46" s="46"/>
      <c r="E46" s="46"/>
      <c r="F46" s="46"/>
      <c r="G46" s="46"/>
      <c r="H46" s="46"/>
      <c r="I46" s="46"/>
      <c r="J46" s="46"/>
      <c r="K46" s="46"/>
      <c r="L46" s="12"/>
      <c r="O46" s="13"/>
      <c r="P46" s="47"/>
      <c r="Q46" s="47"/>
      <c r="R46" s="47"/>
      <c r="S46" s="47"/>
      <c r="T46" s="47"/>
      <c r="U46" s="47"/>
      <c r="V46" s="47"/>
      <c r="W46" s="47"/>
      <c r="X46" s="47"/>
      <c r="Y46" s="17"/>
      <c r="AB46" s="8"/>
      <c r="AC46" s="46"/>
      <c r="AD46" s="46"/>
      <c r="AE46" s="46"/>
      <c r="AF46" s="46"/>
      <c r="AG46" s="46"/>
      <c r="AH46" s="46"/>
      <c r="AI46" s="46"/>
      <c r="AJ46" s="46"/>
      <c r="AK46" s="46"/>
      <c r="AL46" s="12"/>
    </row>
    <row r="47" spans="2:45" x14ac:dyDescent="0.25">
      <c r="B47" s="8"/>
      <c r="C47" s="84" t="s">
        <v>124</v>
      </c>
      <c r="D47" s="85"/>
      <c r="E47" s="86">
        <f>VLOOKUP(C47,comp!$A:$B,2,0)</f>
        <v>41.060049019607845</v>
      </c>
      <c r="F47" s="87" t="s">
        <v>125</v>
      </c>
      <c r="G47" s="88" t="s">
        <v>123</v>
      </c>
      <c r="H47" s="89">
        <f>SUM(H34:H45)/60</f>
        <v>0</v>
      </c>
      <c r="I47" s="87" t="s">
        <v>149</v>
      </c>
      <c r="J47" s="87"/>
      <c r="K47" s="90">
        <f>H47*E47</f>
        <v>0</v>
      </c>
      <c r="L47" s="12"/>
      <c r="O47" s="13"/>
      <c r="P47" s="91" t="s">
        <v>124</v>
      </c>
      <c r="Q47" s="92"/>
      <c r="R47" s="93">
        <f>VLOOKUP(P47,comp!$A:$B,2,0)</f>
        <v>41.060049019607845</v>
      </c>
      <c r="S47" s="94" t="s">
        <v>125</v>
      </c>
      <c r="T47" s="95" t="s">
        <v>123</v>
      </c>
      <c r="U47" s="96">
        <f>SUM(U34:U45)/60</f>
        <v>0</v>
      </c>
      <c r="V47" s="94" t="s">
        <v>149</v>
      </c>
      <c r="W47" s="94"/>
      <c r="X47" s="97">
        <f>U47*R47</f>
        <v>0</v>
      </c>
      <c r="Y47" s="17"/>
      <c r="AB47" s="8"/>
      <c r="AC47" s="84" t="s">
        <v>124</v>
      </c>
      <c r="AD47" s="85"/>
      <c r="AE47" s="86">
        <f>VLOOKUP(AC47,comp!$A:$B,2,0)</f>
        <v>41.060049019607845</v>
      </c>
      <c r="AF47" s="87" t="s">
        <v>125</v>
      </c>
      <c r="AG47" s="88" t="s">
        <v>123</v>
      </c>
      <c r="AH47" s="89">
        <f>SUM(AH34:AH45)/60</f>
        <v>0</v>
      </c>
      <c r="AI47" s="87" t="s">
        <v>149</v>
      </c>
      <c r="AJ47" s="87"/>
      <c r="AK47" s="90">
        <f>AH47*AE47</f>
        <v>0</v>
      </c>
      <c r="AL47" s="12"/>
    </row>
    <row r="48" spans="2:45" ht="6" customHeight="1" x14ac:dyDescent="0.25">
      <c r="B48" s="8"/>
      <c r="C48" s="46"/>
      <c r="D48" s="46"/>
      <c r="E48" s="46"/>
      <c r="F48" s="46"/>
      <c r="G48" s="46"/>
      <c r="H48" s="46"/>
      <c r="I48" s="46"/>
      <c r="J48" s="46"/>
      <c r="K48" s="46"/>
      <c r="L48" s="12"/>
      <c r="O48" s="13"/>
      <c r="P48" s="47"/>
      <c r="Q48" s="47"/>
      <c r="R48" s="47"/>
      <c r="S48" s="47"/>
      <c r="T48" s="47"/>
      <c r="U48" s="47"/>
      <c r="V48" s="47"/>
      <c r="W48" s="47"/>
      <c r="X48" s="47"/>
      <c r="Y48" s="17"/>
      <c r="AB48" s="8"/>
      <c r="AC48" s="46"/>
      <c r="AD48" s="46"/>
      <c r="AE48" s="46"/>
      <c r="AF48" s="46"/>
      <c r="AG48" s="46"/>
      <c r="AH48" s="46"/>
      <c r="AI48" s="46"/>
      <c r="AJ48" s="46"/>
      <c r="AK48" s="46"/>
      <c r="AL48" s="12"/>
    </row>
    <row r="49" spans="2:38" x14ac:dyDescent="0.25">
      <c r="B49" s="8"/>
      <c r="C49" s="84" t="s">
        <v>283</v>
      </c>
      <c r="D49" s="85"/>
      <c r="E49" s="86">
        <f>VLOOKUP(C49,comp!$A:$B,2,0)</f>
        <v>125.5453431372549</v>
      </c>
      <c r="F49" s="87" t="s">
        <v>125</v>
      </c>
      <c r="G49" s="88" t="s">
        <v>123</v>
      </c>
      <c r="H49" s="89">
        <f>SUM(H$34:H$45)/60/2</f>
        <v>0</v>
      </c>
      <c r="I49" s="87" t="s">
        <v>149</v>
      </c>
      <c r="J49" s="87"/>
      <c r="K49" s="90">
        <f>H49*E49</f>
        <v>0</v>
      </c>
      <c r="L49" s="12"/>
      <c r="O49" s="13"/>
      <c r="P49" s="91" t="s">
        <v>283</v>
      </c>
      <c r="Q49" s="92"/>
      <c r="R49" s="93">
        <f>VLOOKUP(P49,comp!$A:$B,2,0)</f>
        <v>125.5453431372549</v>
      </c>
      <c r="S49" s="94" t="s">
        <v>125</v>
      </c>
      <c r="T49" s="95" t="s">
        <v>123</v>
      </c>
      <c r="U49" s="96">
        <f>SUM(U$34:U$45)/60/2</f>
        <v>0</v>
      </c>
      <c r="V49" s="94" t="s">
        <v>149</v>
      </c>
      <c r="W49" s="94"/>
      <c r="X49" s="97">
        <f>U49*R49</f>
        <v>0</v>
      </c>
      <c r="Y49" s="17"/>
      <c r="AB49" s="8"/>
      <c r="AC49" s="84" t="s">
        <v>283</v>
      </c>
      <c r="AD49" s="85"/>
      <c r="AE49" s="86">
        <f>VLOOKUP(AC49,comp!$A:$B,2,0)</f>
        <v>125.5453431372549</v>
      </c>
      <c r="AF49" s="87" t="s">
        <v>125</v>
      </c>
      <c r="AG49" s="88" t="s">
        <v>123</v>
      </c>
      <c r="AH49" s="89">
        <f>SUM(AH$34:AH$45)/60/2</f>
        <v>0</v>
      </c>
      <c r="AI49" s="87" t="s">
        <v>149</v>
      </c>
      <c r="AJ49" s="87"/>
      <c r="AK49" s="90">
        <f>AH49*AE49</f>
        <v>0</v>
      </c>
      <c r="AL49" s="12"/>
    </row>
    <row r="50" spans="2:38" ht="6" customHeight="1" x14ac:dyDescent="0.25">
      <c r="B50" s="8"/>
      <c r="C50" s="46"/>
      <c r="D50" s="46"/>
      <c r="E50" s="46"/>
      <c r="F50" s="46"/>
      <c r="G50" s="46"/>
      <c r="H50" s="46"/>
      <c r="I50" s="46"/>
      <c r="J50" s="46"/>
      <c r="K50" s="46"/>
      <c r="L50" s="12"/>
      <c r="O50" s="13"/>
      <c r="P50" s="47"/>
      <c r="Q50" s="47"/>
      <c r="R50" s="47"/>
      <c r="S50" s="47"/>
      <c r="T50" s="47"/>
      <c r="U50" s="47"/>
      <c r="V50" s="47"/>
      <c r="W50" s="47"/>
      <c r="X50" s="47"/>
      <c r="Y50" s="17"/>
      <c r="AB50" s="8"/>
      <c r="AC50" s="46"/>
      <c r="AD50" s="46"/>
      <c r="AE50" s="46"/>
      <c r="AF50" s="46"/>
      <c r="AG50" s="46"/>
      <c r="AH50" s="46"/>
      <c r="AI50" s="46"/>
      <c r="AJ50" s="46"/>
      <c r="AK50" s="46"/>
      <c r="AL50" s="12"/>
    </row>
    <row r="51" spans="2:38" x14ac:dyDescent="0.25">
      <c r="B51" s="8"/>
      <c r="C51" s="84" t="s">
        <v>284</v>
      </c>
      <c r="D51" s="85"/>
      <c r="E51" s="86">
        <f>VLOOKUP(C51,comp!$A:$B,2,0)</f>
        <v>40.153186274509807</v>
      </c>
      <c r="F51" s="87" t="s">
        <v>125</v>
      </c>
      <c r="G51" s="88" t="s">
        <v>123</v>
      </c>
      <c r="H51" s="89">
        <f>SUM(H$34:H$45)/60/2</f>
        <v>0</v>
      </c>
      <c r="I51" s="87" t="s">
        <v>148</v>
      </c>
      <c r="J51" s="86">
        <f>VLOOKUP('order form'!$D16,powdercoating!$A:$C,3,0)*SUM(J6:J29)</f>
        <v>0</v>
      </c>
      <c r="K51" s="90">
        <f>H51*E51+J51</f>
        <v>0</v>
      </c>
      <c r="L51" s="12"/>
      <c r="O51" s="13"/>
      <c r="P51" s="91" t="s">
        <v>284</v>
      </c>
      <c r="Q51" s="92"/>
      <c r="R51" s="93">
        <f>VLOOKUP(P51,comp!$A:$B,2,0)</f>
        <v>40.153186274509807</v>
      </c>
      <c r="S51" s="94" t="s">
        <v>125</v>
      </c>
      <c r="T51" s="95" t="s">
        <v>123</v>
      </c>
      <c r="U51" s="96">
        <f>SUM(U$34:U$45)/60/2</f>
        <v>0</v>
      </c>
      <c r="V51" s="94" t="s">
        <v>148</v>
      </c>
      <c r="W51" s="93">
        <f>VLOOKUP('order form'!$D16,powdercoating!$A:$C,3,0)*SUM(W6:W29)</f>
        <v>0</v>
      </c>
      <c r="X51" s="97">
        <f>U51*R51+W51</f>
        <v>0</v>
      </c>
      <c r="Y51" s="17"/>
      <c r="AB51" s="8"/>
      <c r="AC51" s="84" t="s">
        <v>284</v>
      </c>
      <c r="AD51" s="85"/>
      <c r="AE51" s="86">
        <f>VLOOKUP(AC51,comp!$A:$B,2,0)</f>
        <v>40.153186274509807</v>
      </c>
      <c r="AF51" s="87" t="s">
        <v>125</v>
      </c>
      <c r="AG51" s="88" t="s">
        <v>123</v>
      </c>
      <c r="AH51" s="89">
        <f>SUM(AH$34:AH$45)/60/2</f>
        <v>0</v>
      </c>
      <c r="AI51" s="87" t="s">
        <v>148</v>
      </c>
      <c r="AJ51" s="86">
        <f>VLOOKUP('order form'!$D16,powdercoating!$A:$C,3,0)*SUM(AJ6:AJ29)</f>
        <v>0</v>
      </c>
      <c r="AK51" s="90">
        <f>AH51*AE51+AJ51</f>
        <v>0</v>
      </c>
      <c r="AL51" s="12"/>
    </row>
    <row r="52" spans="2:38" ht="6" customHeight="1" x14ac:dyDescent="0.25">
      <c r="B52" s="8"/>
      <c r="C52" s="46"/>
      <c r="D52" s="46"/>
      <c r="E52" s="46"/>
      <c r="F52" s="46"/>
      <c r="G52" s="46"/>
      <c r="H52" s="46"/>
      <c r="I52" s="46"/>
      <c r="J52" s="46"/>
      <c r="K52" s="46"/>
      <c r="L52" s="12"/>
      <c r="O52" s="13"/>
      <c r="P52" s="47"/>
      <c r="Q52" s="47"/>
      <c r="R52" s="47"/>
      <c r="S52" s="47"/>
      <c r="T52" s="47"/>
      <c r="U52" s="47"/>
      <c r="V52" s="47"/>
      <c r="W52" s="47"/>
      <c r="X52" s="47"/>
      <c r="Y52" s="17"/>
      <c r="AB52" s="8"/>
      <c r="AC52" s="46"/>
      <c r="AD52" s="46"/>
      <c r="AE52" s="46"/>
      <c r="AF52" s="46"/>
      <c r="AG52" s="46"/>
      <c r="AH52" s="46"/>
      <c r="AI52" s="46"/>
      <c r="AJ52" s="46"/>
      <c r="AK52" s="46"/>
      <c r="AL52" s="12"/>
    </row>
    <row r="53" spans="2:38" ht="15" customHeight="1" x14ac:dyDescent="0.25">
      <c r="B53" s="8"/>
      <c r="C53" s="84" t="s">
        <v>150</v>
      </c>
      <c r="D53" s="85"/>
      <c r="E53" s="85"/>
      <c r="F53" s="85"/>
      <c r="G53" s="85"/>
      <c r="H53" s="85"/>
      <c r="I53" s="85"/>
      <c r="J53" s="85"/>
      <c r="K53" s="90">
        <f>VLOOKUP('order form'!$D20,parity!$A:$C,3,0)/22000*SUM(I6:I29)</f>
        <v>0</v>
      </c>
      <c r="L53" s="12"/>
      <c r="O53" s="13"/>
      <c r="P53" s="98" t="s">
        <v>150</v>
      </c>
      <c r="Q53" s="92"/>
      <c r="R53" s="92"/>
      <c r="S53" s="92"/>
      <c r="T53" s="92"/>
      <c r="U53" s="92"/>
      <c r="V53" s="92"/>
      <c r="W53" s="92"/>
      <c r="X53" s="97">
        <f>VLOOKUP('order form'!$D20,parity!$A:$C,3,0)/22000*SUM(V6:V29)</f>
        <v>0</v>
      </c>
      <c r="Y53" s="17"/>
      <c r="AB53" s="8"/>
      <c r="AC53" s="84" t="s">
        <v>150</v>
      </c>
      <c r="AD53" s="85"/>
      <c r="AE53" s="85"/>
      <c r="AF53" s="85"/>
      <c r="AG53" s="85"/>
      <c r="AH53" s="85"/>
      <c r="AI53" s="85"/>
      <c r="AJ53" s="85"/>
      <c r="AK53" s="90">
        <f>VLOOKUP('order form'!$D20,parity!$A:$C,3,0)/22000*SUM(AI6:AI29)</f>
        <v>0</v>
      </c>
      <c r="AL53" s="12"/>
    </row>
    <row r="54" spans="2:38" ht="6" customHeight="1" x14ac:dyDescent="0.25">
      <c r="B54" s="8"/>
      <c r="C54" s="46"/>
      <c r="D54" s="46"/>
      <c r="E54" s="46"/>
      <c r="F54" s="46"/>
      <c r="G54" s="46"/>
      <c r="H54" s="46"/>
      <c r="I54" s="46"/>
      <c r="J54" s="46"/>
      <c r="K54" s="46"/>
      <c r="L54" s="12"/>
      <c r="O54" s="13"/>
      <c r="P54" s="47"/>
      <c r="Q54" s="47"/>
      <c r="R54" s="47"/>
      <c r="S54" s="47"/>
      <c r="T54" s="47"/>
      <c r="U54" s="47"/>
      <c r="V54" s="47"/>
      <c r="W54" s="47"/>
      <c r="X54" s="47"/>
      <c r="Y54" s="17"/>
      <c r="AB54" s="8"/>
      <c r="AC54" s="46"/>
      <c r="AD54" s="46"/>
      <c r="AE54" s="46"/>
      <c r="AF54" s="46"/>
      <c r="AG54" s="46"/>
      <c r="AH54" s="46"/>
      <c r="AI54" s="46"/>
      <c r="AJ54" s="46"/>
      <c r="AK54" s="46"/>
      <c r="AL54" s="12"/>
    </row>
    <row r="55" spans="2:38" ht="18.75" x14ac:dyDescent="0.3">
      <c r="B55" s="8"/>
      <c r="C55" s="99" t="s">
        <v>287</v>
      </c>
      <c r="D55" s="49"/>
      <c r="E55" s="49"/>
      <c r="F55" s="49"/>
      <c r="G55" s="49"/>
      <c r="H55" s="49"/>
      <c r="I55" s="49"/>
      <c r="J55" s="49"/>
      <c r="K55" s="100">
        <f>K31+K47+K49+K51+K53</f>
        <v>0</v>
      </c>
      <c r="L55" s="12"/>
      <c r="O55" s="13"/>
      <c r="P55" s="101" t="s">
        <v>287</v>
      </c>
      <c r="Q55" s="52"/>
      <c r="R55" s="52"/>
      <c r="S55" s="52"/>
      <c r="T55" s="52"/>
      <c r="U55" s="52"/>
      <c r="V55" s="52"/>
      <c r="W55" s="52"/>
      <c r="X55" s="102">
        <f>X31+X47+X49+X51+X53</f>
        <v>0</v>
      </c>
      <c r="Y55" s="17"/>
      <c r="AB55" s="8"/>
      <c r="AC55" s="99" t="s">
        <v>287</v>
      </c>
      <c r="AD55" s="49"/>
      <c r="AE55" s="49"/>
      <c r="AF55" s="49"/>
      <c r="AG55" s="49"/>
      <c r="AH55" s="49"/>
      <c r="AI55" s="49"/>
      <c r="AJ55" s="49"/>
      <c r="AK55" s="100">
        <f>AK31+AK47+AK49+AK51+AK53</f>
        <v>0</v>
      </c>
      <c r="AL55" s="12"/>
    </row>
    <row r="56" spans="2:38" ht="6" customHeight="1" x14ac:dyDescent="0.25">
      <c r="B56" s="8"/>
      <c r="C56" s="46"/>
      <c r="D56" s="46"/>
      <c r="E56" s="46"/>
      <c r="F56" s="46"/>
      <c r="G56" s="46"/>
      <c r="H56" s="46"/>
      <c r="I56" s="46"/>
      <c r="J56" s="46"/>
      <c r="K56" s="46"/>
      <c r="L56" s="12"/>
      <c r="O56" s="13"/>
      <c r="P56" s="47"/>
      <c r="Q56" s="47"/>
      <c r="R56" s="47"/>
      <c r="S56" s="47"/>
      <c r="T56" s="47"/>
      <c r="U56" s="47"/>
      <c r="V56" s="47"/>
      <c r="W56" s="47"/>
      <c r="X56" s="47"/>
      <c r="Y56" s="17"/>
      <c r="AB56" s="8"/>
      <c r="AC56" s="46"/>
      <c r="AD56" s="46"/>
      <c r="AE56" s="46"/>
      <c r="AF56" s="46"/>
      <c r="AG56" s="46"/>
      <c r="AH56" s="46"/>
      <c r="AI56" s="46"/>
      <c r="AJ56" s="46"/>
      <c r="AK56" s="46"/>
      <c r="AL56" s="12"/>
    </row>
    <row r="57" spans="2:38" ht="18.75" x14ac:dyDescent="0.3">
      <c r="B57" s="8"/>
      <c r="C57" s="99" t="s">
        <v>287</v>
      </c>
      <c r="D57" s="49"/>
      <c r="E57" s="103"/>
      <c r="F57" s="104" t="s">
        <v>131</v>
      </c>
      <c r="G57" s="103">
        <v>1</v>
      </c>
      <c r="H57" s="103" t="s">
        <v>132</v>
      </c>
      <c r="I57" s="49"/>
      <c r="J57" s="49"/>
      <c r="K57" s="100">
        <f>K55*G57</f>
        <v>0</v>
      </c>
      <c r="L57" s="12"/>
      <c r="O57" s="13"/>
      <c r="P57" s="101" t="s">
        <v>287</v>
      </c>
      <c r="Q57" s="52"/>
      <c r="R57" s="105"/>
      <c r="S57" s="106" t="s">
        <v>131</v>
      </c>
      <c r="T57" s="105">
        <f>G57</f>
        <v>1</v>
      </c>
      <c r="U57" s="105" t="s">
        <v>132</v>
      </c>
      <c r="V57" s="52"/>
      <c r="W57" s="52"/>
      <c r="X57" s="102">
        <f>X55*T57</f>
        <v>0</v>
      </c>
      <c r="Y57" s="17"/>
      <c r="AB57" s="8"/>
      <c r="AC57" s="99" t="s">
        <v>287</v>
      </c>
      <c r="AD57" s="49"/>
      <c r="AE57" s="103"/>
      <c r="AF57" s="104" t="s">
        <v>131</v>
      </c>
      <c r="AG57" s="103">
        <f>T57</f>
        <v>1</v>
      </c>
      <c r="AH57" s="103" t="s">
        <v>132</v>
      </c>
      <c r="AI57" s="49"/>
      <c r="AJ57" s="49"/>
      <c r="AK57" s="100">
        <f>AK55*AG57</f>
        <v>0</v>
      </c>
      <c r="AL57" s="12"/>
    </row>
    <row r="58" spans="2:38" ht="15.75" thickBot="1" x14ac:dyDescent="0.3">
      <c r="B58" s="107"/>
      <c r="C58" s="108"/>
      <c r="D58" s="108"/>
      <c r="E58" s="108"/>
      <c r="F58" s="108"/>
      <c r="G58" s="108"/>
      <c r="H58" s="108"/>
      <c r="I58" s="108"/>
      <c r="J58" s="108"/>
      <c r="K58" s="108"/>
      <c r="L58" s="109"/>
      <c r="O58" s="110"/>
      <c r="P58" s="111"/>
      <c r="Q58" s="111"/>
      <c r="R58" s="111"/>
      <c r="S58" s="111"/>
      <c r="T58" s="111"/>
      <c r="U58" s="111"/>
      <c r="V58" s="111"/>
      <c r="W58" s="111"/>
      <c r="X58" s="111"/>
      <c r="Y58" s="112"/>
      <c r="AB58" s="107"/>
      <c r="AC58" s="108"/>
      <c r="AD58" s="108"/>
      <c r="AE58" s="108"/>
      <c r="AF58" s="108"/>
      <c r="AG58" s="108"/>
      <c r="AH58" s="108"/>
      <c r="AI58" s="108"/>
      <c r="AJ58" s="108"/>
      <c r="AK58" s="108"/>
      <c r="AL58" s="109"/>
    </row>
  </sheetData>
  <sheetProtection algorithmName="SHA-512" hashValue="ucQbmXq7vWKP/UxwpnxTq0Slsmzywk6Q3vG0tziKcAT84HUrZFTv08sLBvxnTfBbK1JFfNH+lPIvPODHu4jplA==" saltValue="A9ad4navNtmkukE6sf0smQ==" spinCount="100000" sheet="1" selectLockedCells="1" selectUnlockedCells="1"/>
  <pageMargins left="0.70866141732283472" right="0.70866141732283472" top="0.74803149606299213" bottom="0.74803149606299213" header="0.31496062992125984" footer="0.31496062992125984"/>
  <pageSetup paperSize="9" scale="69" fitToWidth="3" orientation="portrait" blackAndWhite="1" r:id="rId1"/>
  <colBreaks count="2" manualBreakCount="2">
    <brk id="13" max="1048575" man="1"/>
    <brk id="26"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V99"/>
  <sheetViews>
    <sheetView workbookViewId="0">
      <pane ySplit="1" topLeftCell="A71" activePane="bottomLeft" state="frozen"/>
      <selection pane="bottomLeft" activeCell="B99" sqref="B99"/>
    </sheetView>
  </sheetViews>
  <sheetFormatPr defaultRowHeight="15" x14ac:dyDescent="0.25"/>
  <cols>
    <col min="1" max="1" width="12.7109375" bestFit="1" customWidth="1"/>
    <col min="2" max="2" width="28.5703125" bestFit="1" customWidth="1"/>
    <col min="3" max="3" width="22.42578125" customWidth="1"/>
    <col min="4" max="5" width="15.28515625" customWidth="1"/>
    <col min="6" max="6" width="12" bestFit="1" customWidth="1"/>
    <col min="10" max="10" width="2.28515625" customWidth="1"/>
    <col min="14" max="14" width="11.5703125" customWidth="1"/>
    <col min="18" max="18" width="11.85546875" customWidth="1"/>
    <col min="19" max="19" width="13.5703125" customWidth="1"/>
  </cols>
  <sheetData>
    <row r="1" spans="1:22" ht="45" x14ac:dyDescent="0.25">
      <c r="A1" s="306" t="s">
        <v>529</v>
      </c>
      <c r="B1" s="307" t="s">
        <v>528</v>
      </c>
      <c r="C1" s="307" t="s">
        <v>23</v>
      </c>
      <c r="D1" s="307" t="s">
        <v>32</v>
      </c>
      <c r="E1" s="307" t="s">
        <v>12</v>
      </c>
      <c r="F1" s="307" t="s">
        <v>544</v>
      </c>
      <c r="G1" s="307" t="s">
        <v>530</v>
      </c>
      <c r="H1" s="308" t="s">
        <v>539</v>
      </c>
      <c r="I1" s="315" t="s">
        <v>562</v>
      </c>
      <c r="K1" s="318" t="s">
        <v>109</v>
      </c>
      <c r="L1" s="319" t="s">
        <v>107</v>
      </c>
      <c r="M1" s="319" t="s">
        <v>108</v>
      </c>
      <c r="N1" s="319" t="s">
        <v>114</v>
      </c>
      <c r="O1" s="319" t="s">
        <v>110</v>
      </c>
      <c r="P1" s="319" t="s">
        <v>111</v>
      </c>
      <c r="Q1" s="319" t="s">
        <v>112</v>
      </c>
      <c r="R1" s="319" t="s">
        <v>113</v>
      </c>
      <c r="S1" s="319" t="s">
        <v>115</v>
      </c>
      <c r="T1" s="319" t="s">
        <v>116</v>
      </c>
      <c r="U1" s="319" t="s">
        <v>117</v>
      </c>
      <c r="V1" s="320" t="s">
        <v>118</v>
      </c>
    </row>
    <row r="2" spans="1:22" x14ac:dyDescent="0.25">
      <c r="A2" s="309" t="s">
        <v>8</v>
      </c>
      <c r="B2" s="310" t="s">
        <v>52</v>
      </c>
      <c r="C2" s="310" t="str">
        <f>VLOOKUP('order form'!$D$27,plexi!$A:$E,5,0)</f>
        <v>PL-QUINNSAN-20</v>
      </c>
      <c r="D2" s="310">
        <f>'order form'!$D$83</f>
        <v>929</v>
      </c>
      <c r="E2" s="310">
        <f>'order form'!$E$83</f>
        <v>370</v>
      </c>
      <c r="F2" s="310">
        <f>'order form'!$K$18*'order form'!$D$25</f>
        <v>3</v>
      </c>
      <c r="G2" s="310">
        <f>D2/1000*E2/1000*F2</f>
        <v>1.0311900000000001</v>
      </c>
      <c r="H2" s="311">
        <f>IF(OR(C2="OTHER",'order form'!$J$25=0,'order form'!$D$41),0,1)</f>
        <v>0</v>
      </c>
      <c r="I2" s="316">
        <f>IF(H2,G2,0)</f>
        <v>0</v>
      </c>
      <c r="K2" s="309"/>
      <c r="L2" s="310"/>
      <c r="M2" s="310"/>
      <c r="N2" s="310"/>
      <c r="O2" s="310">
        <f>IF(H2,F2,0)</f>
        <v>0</v>
      </c>
      <c r="P2" s="310"/>
      <c r="Q2" s="310"/>
      <c r="R2" s="310"/>
      <c r="S2" s="310"/>
      <c r="T2" s="310"/>
      <c r="U2" s="310">
        <f>IF(H2,F2/'order form'!$D$25,0)</f>
        <v>0</v>
      </c>
      <c r="V2" s="311">
        <f>IF(SUM(H2:H22),1,0)</f>
        <v>0</v>
      </c>
    </row>
    <row r="3" spans="1:22" x14ac:dyDescent="0.25">
      <c r="A3" s="312" t="s">
        <v>8</v>
      </c>
      <c r="B3" t="s">
        <v>531</v>
      </c>
      <c r="C3" t="str">
        <f>IF('order form'!$D$41,SUBSTITUTE(VLOOKUP('order form'!$D$31,lath!$A:$C,3,0),"E","D"),VLOOKUP('order form'!$D$31,lath!$A:$C,3,0))</f>
        <v>APE1000</v>
      </c>
      <c r="D3" s="313">
        <f>'order form'!$D$83+10</f>
        <v>939</v>
      </c>
      <c r="E3">
        <v>0</v>
      </c>
      <c r="F3">
        <f>'order form'!$K$18*2</f>
        <v>6</v>
      </c>
      <c r="G3">
        <f>D3*F3/1000</f>
        <v>5.6340000000000003</v>
      </c>
      <c r="H3" s="314">
        <f>IF('order form'!$J$25=0,0,1)</f>
        <v>0</v>
      </c>
      <c r="I3" s="317">
        <f t="shared" ref="I3:I74" si="0">IF(H3,G3,0)</f>
        <v>0</v>
      </c>
      <c r="K3" s="312"/>
      <c r="P3">
        <f>IF(H3,F3,0)</f>
        <v>0</v>
      </c>
      <c r="V3" s="314"/>
    </row>
    <row r="4" spans="1:22" x14ac:dyDescent="0.25">
      <c r="A4" s="312" t="s">
        <v>8</v>
      </c>
      <c r="B4" t="s">
        <v>532</v>
      </c>
      <c r="C4" t="str">
        <f>C3</f>
        <v>APE1000</v>
      </c>
      <c r="D4">
        <v>0</v>
      </c>
      <c r="E4">
        <f>'order form'!$E$91-49</f>
        <v>331</v>
      </c>
      <c r="F4">
        <f>'order form'!$K$18*2</f>
        <v>6</v>
      </c>
      <c r="G4">
        <f>E4*F4/1000</f>
        <v>1.986</v>
      </c>
      <c r="H4" s="314">
        <f>IF('order form'!$J$25=0,0,1)</f>
        <v>0</v>
      </c>
      <c r="I4" s="317">
        <f t="shared" si="0"/>
        <v>0</v>
      </c>
      <c r="K4" s="312"/>
      <c r="P4">
        <f>IF(H4,F4,0)</f>
        <v>0</v>
      </c>
      <c r="V4" s="314"/>
    </row>
    <row r="5" spans="1:22" x14ac:dyDescent="0.25">
      <c r="A5" s="312" t="s">
        <v>8</v>
      </c>
      <c r="B5" t="s">
        <v>533</v>
      </c>
      <c r="C5" t="str">
        <f>IF('order form'!$D$41,"ARD",VLOOKUP('order form'!$D$25,glassing!$A:$C,3,0))</f>
        <v>ARE</v>
      </c>
      <c r="D5">
        <f>'order form'!$D$83</f>
        <v>929</v>
      </c>
      <c r="E5">
        <v>0</v>
      </c>
      <c r="F5">
        <f>'order form'!$K$18*2</f>
        <v>6</v>
      </c>
      <c r="G5">
        <f>D5*F5/1000</f>
        <v>5.5739999999999998</v>
      </c>
      <c r="H5" s="314">
        <f>IF('order form'!$J$25=0,0,1)</f>
        <v>0</v>
      </c>
      <c r="I5" s="317">
        <f t="shared" si="0"/>
        <v>0</v>
      </c>
      <c r="K5" s="312"/>
      <c r="V5" s="314"/>
    </row>
    <row r="6" spans="1:22" x14ac:dyDescent="0.25">
      <c r="A6" s="312" t="s">
        <v>8</v>
      </c>
      <c r="B6" t="s">
        <v>534</v>
      </c>
      <c r="C6" t="str">
        <f>C5</f>
        <v>ARE</v>
      </c>
      <c r="D6">
        <v>0</v>
      </c>
      <c r="E6">
        <f>'order form'!$E$83</f>
        <v>370</v>
      </c>
      <c r="F6">
        <f>'order form'!$K$18*2</f>
        <v>6</v>
      </c>
      <c r="G6">
        <f>E6*F6/1000</f>
        <v>2.2200000000000002</v>
      </c>
      <c r="H6" s="314">
        <f>IF('order form'!$J$25=0,0,1)</f>
        <v>0</v>
      </c>
      <c r="I6" s="317">
        <f t="shared" si="0"/>
        <v>0</v>
      </c>
      <c r="K6" s="312"/>
      <c r="V6" s="314"/>
    </row>
    <row r="7" spans="1:22" x14ac:dyDescent="0.25">
      <c r="A7" s="312" t="s">
        <v>8</v>
      </c>
      <c r="B7" t="s">
        <v>535</v>
      </c>
      <c r="C7" t="str">
        <f>"ADH"&amp;INDEX(IF('order form'!Q38,plexi!$G$2:$G$6,plexi!$F$2:$F$6),'order form'!$D$27)</f>
        <v>ADH-IT-16-B</v>
      </c>
      <c r="D7">
        <f>'order form'!$D$83-26</f>
        <v>903</v>
      </c>
      <c r="E7">
        <v>0</v>
      </c>
      <c r="F7">
        <f>'order form'!$K$18*2</f>
        <v>6</v>
      </c>
      <c r="G7">
        <f>D7*F7/1000</f>
        <v>5.4180000000000001</v>
      </c>
      <c r="H7" s="314">
        <f>IF(OR('order form'!$J$25=0,'order form'!$D$25=1,$C2="OTHER",'order form'!$D$41),0,1)</f>
        <v>0</v>
      </c>
      <c r="I7" s="317">
        <f t="shared" si="0"/>
        <v>0</v>
      </c>
      <c r="K7" s="312"/>
      <c r="Q7">
        <f>IF(AND(H7,'order form'!$Q$38=FALSE),F7,0)</f>
        <v>0</v>
      </c>
      <c r="V7" s="314"/>
    </row>
    <row r="8" spans="1:22" x14ac:dyDescent="0.25">
      <c r="A8" s="312" t="s">
        <v>8</v>
      </c>
      <c r="B8" t="s">
        <v>536</v>
      </c>
      <c r="C8" t="str">
        <f>C7</f>
        <v>ADH-IT-16-B</v>
      </c>
      <c r="D8">
        <v>0</v>
      </c>
      <c r="E8">
        <f>'order form'!$E$83-26</f>
        <v>344</v>
      </c>
      <c r="F8">
        <f>'order form'!$K$18*2</f>
        <v>6</v>
      </c>
      <c r="G8">
        <f>E8*F8/1000</f>
        <v>2.0640000000000001</v>
      </c>
      <c r="H8" s="314">
        <f>IF(OR('order form'!$J$25=0,'order form'!$D$25=1,$C2="OTHER",'order form'!$D$41),0,1)</f>
        <v>0</v>
      </c>
      <c r="I8" s="317">
        <f t="shared" si="0"/>
        <v>0</v>
      </c>
      <c r="K8" s="312"/>
      <c r="Q8">
        <f>IF(AND(H8,'order form'!$Q$38=FALSE),F8,0)</f>
        <v>0</v>
      </c>
      <c r="V8" s="314"/>
    </row>
    <row r="9" spans="1:22" x14ac:dyDescent="0.25">
      <c r="A9" s="312" t="s">
        <v>8</v>
      </c>
      <c r="B9" t="s">
        <v>537</v>
      </c>
      <c r="C9" t="s">
        <v>65</v>
      </c>
      <c r="D9">
        <f>'order form'!$D$83-18</f>
        <v>911</v>
      </c>
      <c r="E9">
        <v>0</v>
      </c>
      <c r="F9">
        <f>'order form'!$K$18*4</f>
        <v>12</v>
      </c>
      <c r="G9">
        <f>D9*F9/1000</f>
        <v>10.932</v>
      </c>
      <c r="H9" s="314">
        <f>IF(AND('order form'!$J$25&gt;0,OR(AND('order form'!$D$25=2,$C2&lt;&gt;"OTHER",'order form'!$Q$38=FALSE),'order form'!$D$41)),1,0)</f>
        <v>0</v>
      </c>
      <c r="I9" s="317">
        <f t="shared" si="0"/>
        <v>0</v>
      </c>
      <c r="K9" s="312"/>
      <c r="V9" s="314"/>
    </row>
    <row r="10" spans="1:22" x14ac:dyDescent="0.25">
      <c r="A10" s="312" t="s">
        <v>8</v>
      </c>
      <c r="B10" t="s">
        <v>538</v>
      </c>
      <c r="C10" t="str">
        <f>C9</f>
        <v>ABUT</v>
      </c>
      <c r="D10">
        <v>0</v>
      </c>
      <c r="E10" s="322">
        <f>'order form'!$E$83-18</f>
        <v>352</v>
      </c>
      <c r="F10">
        <f>'order form'!$K$18*4</f>
        <v>12</v>
      </c>
      <c r="G10">
        <f>E10*F10/1000</f>
        <v>4.2240000000000002</v>
      </c>
      <c r="H10" s="314">
        <f>IF(AND('order form'!$J$25&gt;0,OR(AND('order form'!$D$25=2,$C2&lt;&gt;"OTHER",'order form'!$Q$38=FALSE),'order form'!$D$41)),1,0)</f>
        <v>0</v>
      </c>
      <c r="I10" s="317">
        <f t="shared" si="0"/>
        <v>0</v>
      </c>
      <c r="K10" s="312"/>
      <c r="V10" s="314"/>
    </row>
    <row r="11" spans="1:22" x14ac:dyDescent="0.25">
      <c r="A11" s="312" t="s">
        <v>8</v>
      </c>
      <c r="B11" t="s">
        <v>540</v>
      </c>
      <c r="C11" t="str">
        <f>"ADH-COR"&amp;INDEX(plexi!$F$2:$F$6,'order form'!$D$27)</f>
        <v>ADH-COR155</v>
      </c>
      <c r="D11">
        <v>0</v>
      </c>
      <c r="E11">
        <v>0</v>
      </c>
      <c r="F11">
        <f>'order form'!$K$18*4</f>
        <v>12</v>
      </c>
      <c r="G11">
        <f>F11</f>
        <v>12</v>
      </c>
      <c r="H11" s="314">
        <f>IF(OR('order form'!$J$25=0,'order form'!$D$25=1,$C2="OTHER",'order form'!$D$41,'order form'!$Q$38=TRUE),0,1)</f>
        <v>0</v>
      </c>
      <c r="I11" s="317">
        <f t="shared" si="0"/>
        <v>0</v>
      </c>
      <c r="K11" s="312"/>
      <c r="R11">
        <f>IF(H11,F11/4,0)</f>
        <v>0</v>
      </c>
      <c r="V11" s="314"/>
    </row>
    <row r="12" spans="1:22" x14ac:dyDescent="0.25">
      <c r="A12" s="312" t="s">
        <v>8</v>
      </c>
      <c r="B12" t="s">
        <v>541</v>
      </c>
      <c r="C12" t="s">
        <v>66</v>
      </c>
      <c r="D12">
        <f>'order form'!$D$83</f>
        <v>929</v>
      </c>
      <c r="E12">
        <f>'order form'!$E$83</f>
        <v>370</v>
      </c>
      <c r="F12">
        <f>2*'order form'!$K$18</f>
        <v>6</v>
      </c>
      <c r="G12">
        <f>(D12+E12)*F12/18000/IF(AND('order form'!Q38,H2),2,1)</f>
        <v>0.433</v>
      </c>
      <c r="H12" s="314">
        <f>IF(AND('order form'!$J$25&gt;0,OR(AND('order form'!$D$25=2,$C2&lt;&gt;"OTHER"),'order form'!$D$41)),1,0)</f>
        <v>0</v>
      </c>
      <c r="I12" s="317">
        <f t="shared" si="0"/>
        <v>0</v>
      </c>
      <c r="K12" s="312"/>
      <c r="S12">
        <f>IF(H12,F12/2,0)</f>
        <v>0</v>
      </c>
      <c r="V12" s="314"/>
    </row>
    <row r="13" spans="1:22" x14ac:dyDescent="0.25">
      <c r="A13" s="312" t="s">
        <v>8</v>
      </c>
      <c r="B13" t="s">
        <v>246</v>
      </c>
      <c r="C13" t="s">
        <v>243</v>
      </c>
      <c r="D13">
        <f>'order form'!$D$83</f>
        <v>929</v>
      </c>
      <c r="E13">
        <f>'order form'!$E$83</f>
        <v>370</v>
      </c>
      <c r="F13">
        <f>'order form'!$K$18*2</f>
        <v>6</v>
      </c>
      <c r="G13">
        <f>D13/1000*E13/1000*F13</f>
        <v>2.0623800000000001</v>
      </c>
      <c r="H13" s="314">
        <f>IF(AND('order form'!$D$41,'order form'!$D$38=1,'order form'!$J$25&gt;0),1,0)</f>
        <v>0</v>
      </c>
      <c r="I13" s="317">
        <f t="shared" si="0"/>
        <v>0</v>
      </c>
      <c r="K13" s="312"/>
      <c r="O13">
        <f>IF(H13,F13,0)</f>
        <v>0</v>
      </c>
      <c r="V13" s="314"/>
    </row>
    <row r="14" spans="1:22" x14ac:dyDescent="0.25">
      <c r="A14" s="312" t="s">
        <v>8</v>
      </c>
      <c r="B14" t="s">
        <v>248</v>
      </c>
      <c r="C14" t="s">
        <v>245</v>
      </c>
      <c r="D14">
        <f>'order form'!$D$83</f>
        <v>929</v>
      </c>
      <c r="E14">
        <f>'order form'!$E$83</f>
        <v>370</v>
      </c>
      <c r="F14">
        <f>'order form'!$K$18</f>
        <v>3</v>
      </c>
      <c r="G14">
        <f>D14/1000*E14/1000*F14</f>
        <v>1.0311900000000001</v>
      </c>
      <c r="H14" s="314">
        <f>IF(AND('order form'!$D$41,'order form'!$J$25&gt;0),1,0)</f>
        <v>0</v>
      </c>
      <c r="I14" s="317">
        <f t="shared" si="0"/>
        <v>0</v>
      </c>
      <c r="K14" s="312"/>
      <c r="O14">
        <f>IF(H14,F14,0)</f>
        <v>0</v>
      </c>
      <c r="U14">
        <f>IF(H14,F14,0)</f>
        <v>0</v>
      </c>
      <c r="V14" s="314"/>
    </row>
    <row r="15" spans="1:22" x14ac:dyDescent="0.25">
      <c r="A15" s="312" t="s">
        <v>8</v>
      </c>
      <c r="B15" t="s">
        <v>58</v>
      </c>
      <c r="C15" t="s">
        <v>67</v>
      </c>
      <c r="D15">
        <f>'order form'!$K$12+'order form'!$K$14+100</f>
        <v>3100</v>
      </c>
      <c r="E15">
        <v>0</v>
      </c>
      <c r="F15">
        <v>1</v>
      </c>
      <c r="G15">
        <f>D15/1000*F15</f>
        <v>3.1</v>
      </c>
      <c r="H15" s="314">
        <f>IF(AND('order form'!$J$25&gt;0,VLOOKUP('order form'!$D$14,paneltypes!$A:$R,18,0)),1,0)</f>
        <v>0</v>
      </c>
      <c r="I15" s="317">
        <f t="shared" si="0"/>
        <v>0</v>
      </c>
      <c r="K15" s="312"/>
      <c r="T15">
        <f>IF(H15,F15,0)</f>
        <v>0</v>
      </c>
      <c r="V15" s="314"/>
    </row>
    <row r="16" spans="1:22" x14ac:dyDescent="0.25">
      <c r="A16" s="312" t="s">
        <v>8</v>
      </c>
      <c r="B16" t="s">
        <v>59</v>
      </c>
      <c r="C16" t="str">
        <f>CONCATENATE('order form'!$D$90,1000)</f>
        <v>A1E1000</v>
      </c>
      <c r="D16">
        <f>'order form'!$E$90</f>
        <v>3000</v>
      </c>
      <c r="E16">
        <v>0</v>
      </c>
      <c r="F16">
        <v>1</v>
      </c>
      <c r="G16">
        <f>D16/1000*F16</f>
        <v>3</v>
      </c>
      <c r="H16" s="314">
        <f>IF('order form'!$J$25=0,0,1)</f>
        <v>0</v>
      </c>
      <c r="I16" s="317">
        <f t="shared" si="0"/>
        <v>0</v>
      </c>
      <c r="K16" s="312">
        <f>IF(H16,F16,0)</f>
        <v>0</v>
      </c>
      <c r="V16" s="314"/>
    </row>
    <row r="17" spans="1:22" x14ac:dyDescent="0.25">
      <c r="A17" s="312" t="s">
        <v>8</v>
      </c>
      <c r="B17" t="s">
        <v>60</v>
      </c>
      <c r="C17" t="str">
        <f>CONCATENATE('order form'!$D$91,1000)</f>
        <v>A1E1000</v>
      </c>
      <c r="D17">
        <v>0</v>
      </c>
      <c r="E17">
        <f>'order form'!$E$91</f>
        <v>380</v>
      </c>
      <c r="F17">
        <v>2</v>
      </c>
      <c r="G17">
        <f>E17*F17/1000</f>
        <v>0.76</v>
      </c>
      <c r="H17" s="314">
        <f>IF('order form'!$J$25=0,0,1)</f>
        <v>0</v>
      </c>
      <c r="I17" s="317">
        <f t="shared" si="0"/>
        <v>0</v>
      </c>
      <c r="K17" s="312"/>
      <c r="L17">
        <f>IF(H17,F17*4,0)</f>
        <v>0</v>
      </c>
      <c r="M17">
        <f>IF(H17,F17,0)</f>
        <v>0</v>
      </c>
      <c r="N17">
        <f>IF(H17,F17*4,0)</f>
        <v>0</v>
      </c>
      <c r="V17" s="314"/>
    </row>
    <row r="18" spans="1:22" x14ac:dyDescent="0.25">
      <c r="A18" s="312" t="s">
        <v>8</v>
      </c>
      <c r="B18" t="s">
        <v>61</v>
      </c>
      <c r="C18" t="str">
        <f>CONCATENATE('order form'!$D$92,1000)</f>
        <v>A2M1000</v>
      </c>
      <c r="D18">
        <v>0</v>
      </c>
      <c r="E18">
        <f>'order form'!$E$92</f>
        <v>380</v>
      </c>
      <c r="F18">
        <f>'order form'!$K$18-1</f>
        <v>2</v>
      </c>
      <c r="G18">
        <f>E18*F18/1000</f>
        <v>0.76</v>
      </c>
      <c r="H18" s="314">
        <f>IF('order form'!$J$25=0,0,1)</f>
        <v>0</v>
      </c>
      <c r="I18" s="317">
        <f t="shared" si="0"/>
        <v>0</v>
      </c>
      <c r="K18" s="312"/>
      <c r="L18">
        <f>IF(H18,F18*2,0)</f>
        <v>0</v>
      </c>
      <c r="M18">
        <f>IF(H18,F18,0)</f>
        <v>0</v>
      </c>
      <c r="N18">
        <f>IF(H18,F18*2,0)</f>
        <v>0</v>
      </c>
      <c r="V18" s="314"/>
    </row>
    <row r="19" spans="1:22" x14ac:dyDescent="0.25">
      <c r="A19" s="312" t="s">
        <v>8</v>
      </c>
      <c r="B19" t="s">
        <v>62</v>
      </c>
      <c r="C19" t="str">
        <f>CONCATENATE('order form'!$D$93,1000)</f>
        <v>A3B1000</v>
      </c>
      <c r="D19">
        <f>'order form'!$E$93</f>
        <v>3000</v>
      </c>
      <c r="E19">
        <v>0</v>
      </c>
      <c r="F19">
        <v>1</v>
      </c>
      <c r="G19">
        <f>D19/1000*F19</f>
        <v>3</v>
      </c>
      <c r="H19" s="314">
        <f>IF('order form'!$J$25=0,0,1)</f>
        <v>0</v>
      </c>
      <c r="I19" s="317">
        <f t="shared" si="0"/>
        <v>0</v>
      </c>
      <c r="K19" s="312">
        <f>IF(H19,F19,0)</f>
        <v>0</v>
      </c>
      <c r="V19" s="314"/>
    </row>
    <row r="20" spans="1:22" x14ac:dyDescent="0.25">
      <c r="A20" s="312" t="s">
        <v>8</v>
      </c>
      <c r="B20" t="s">
        <v>68</v>
      </c>
      <c r="C20" t="s">
        <v>69</v>
      </c>
      <c r="D20">
        <v>0</v>
      </c>
      <c r="E20">
        <v>0</v>
      </c>
      <c r="F20">
        <f>F17*4+F18*2</f>
        <v>12</v>
      </c>
      <c r="G20">
        <f>F20</f>
        <v>12</v>
      </c>
      <c r="H20" s="314">
        <f>IF('order form'!$J$25=0,0,1)</f>
        <v>0</v>
      </c>
      <c r="I20" s="317">
        <f t="shared" si="0"/>
        <v>0</v>
      </c>
      <c r="K20" s="312"/>
      <c r="V20" s="314"/>
    </row>
    <row r="21" spans="1:22" x14ac:dyDescent="0.25">
      <c r="A21" s="312" t="s">
        <v>8</v>
      </c>
      <c r="B21" t="s">
        <v>499</v>
      </c>
      <c r="C21" t="s">
        <v>498</v>
      </c>
      <c r="D21">
        <f>'order form'!$K$12+'order form'!$K$14</f>
        <v>3000</v>
      </c>
      <c r="E21">
        <f>'order form'!$K$25</f>
        <v>500</v>
      </c>
      <c r="F21" t="e">
        <f>ROUNDUP(('order form'!$J$25+'order form'!$J$27+'order form'!$J$29)*'order form'!$K$10/8,0)*2/6/(('order form'!$J$25+'order form'!$J$27+'order form'!$J$29)*'order form'!$K$10)</f>
        <v>#DIV/0!</v>
      </c>
      <c r="G21" t="e">
        <f>D21/1000*E21/1000*F21</f>
        <v>#DIV/0!</v>
      </c>
      <c r="H21" s="314">
        <f>IF('order form'!$J$25&gt;0,1,0)</f>
        <v>0</v>
      </c>
      <c r="I21" s="317">
        <f t="shared" si="0"/>
        <v>0</v>
      </c>
      <c r="K21" s="312"/>
      <c r="V21" s="314"/>
    </row>
    <row r="22" spans="1:22" x14ac:dyDescent="0.25">
      <c r="A22" s="312" t="s">
        <v>8</v>
      </c>
      <c r="B22" t="s">
        <v>522</v>
      </c>
      <c r="C22" t="s">
        <v>523</v>
      </c>
      <c r="D22">
        <f>'order form'!$K$12+'order form'!$K$14</f>
        <v>3000</v>
      </c>
      <c r="E22">
        <f>'order form'!$K$25</f>
        <v>500</v>
      </c>
      <c r="F22">
        <f>2/2000</f>
        <v>1E-3</v>
      </c>
      <c r="G22">
        <f>(D22+E22)*F22</f>
        <v>3.5</v>
      </c>
      <c r="H22" s="314">
        <f>IF('order form'!$J$25,1,0)</f>
        <v>0</v>
      </c>
      <c r="I22" s="317">
        <f t="shared" si="0"/>
        <v>0</v>
      </c>
      <c r="K22" s="312"/>
      <c r="V22" s="314"/>
    </row>
    <row r="23" spans="1:22" x14ac:dyDescent="0.25">
      <c r="A23" s="312" t="s">
        <v>8</v>
      </c>
      <c r="B23" t="s">
        <v>651</v>
      </c>
      <c r="C23" t="s">
        <v>652</v>
      </c>
      <c r="D23">
        <f>'order form'!$K$12+'order form'!$K$14</f>
        <v>3000</v>
      </c>
      <c r="E23">
        <v>0</v>
      </c>
      <c r="F23" t="e">
        <f>IF(D23&gt;3500,4,3)*3*ROUNDUP(('order form'!$J$25+'order form'!$J$27+'order form'!$J$29)*'order form'!$K$10/8,0)/(('order form'!$J$25+'order form'!$J$27+'order form'!$J$29)*'order form'!$K$10)</f>
        <v>#DIV/0!</v>
      </c>
      <c r="G23" t="e">
        <f>F23</f>
        <v>#DIV/0!</v>
      </c>
      <c r="H23" s="314">
        <f>IF('order form'!$J$25,1,0)</f>
        <v>0</v>
      </c>
      <c r="I23" s="317">
        <f t="shared" si="0"/>
        <v>0</v>
      </c>
      <c r="K23" s="312"/>
      <c r="V23" s="314"/>
    </row>
    <row r="24" spans="1:22" x14ac:dyDescent="0.25">
      <c r="A24" s="312" t="s">
        <v>8</v>
      </c>
      <c r="B24" t="s">
        <v>654</v>
      </c>
      <c r="C24" t="s">
        <v>653</v>
      </c>
      <c r="D24" t="e">
        <f>(('order form'!$J$25+'order form'!$J$27+'order form'!$J$29)*'order form'!$K$10)/ROUNDUP(('order form'!$J$25+'order form'!$J$27+'order form'!$J$29)*'order form'!$K$10/8,0)*40+2*3.2</f>
        <v>#DIV/0!</v>
      </c>
      <c r="E24">
        <f>'order form'!$K$25</f>
        <v>500</v>
      </c>
      <c r="F24" t="e">
        <f>2*ROUNDUP(('order form'!$J$25+'order form'!$J$27+'order form'!$J$29)*'order form'!$K$10/8,0)/(('order form'!$J$25+'order form'!$J$27+'order form'!$J$29)*'order form'!$K$10)</f>
        <v>#DIV/0!</v>
      </c>
      <c r="G24" t="e">
        <f>(2*(D24+E24)+200)*F24/1000</f>
        <v>#DIV/0!</v>
      </c>
      <c r="H24" s="314">
        <f>IF('order form'!$J$25,1,0)</f>
        <v>0</v>
      </c>
      <c r="I24" s="317">
        <f t="shared" si="0"/>
        <v>0</v>
      </c>
      <c r="K24" s="312"/>
      <c r="V24" s="314"/>
    </row>
    <row r="25" spans="1:22" x14ac:dyDescent="0.25">
      <c r="A25" s="312" t="s">
        <v>8</v>
      </c>
      <c r="B25" t="s">
        <v>657</v>
      </c>
      <c r="C25" t="s">
        <v>655</v>
      </c>
      <c r="D25">
        <f>'order form'!$K$12+'order form'!$K$14</f>
        <v>3000</v>
      </c>
      <c r="E25">
        <v>0</v>
      </c>
      <c r="F25">
        <v>0.2</v>
      </c>
      <c r="G25">
        <f>F25</f>
        <v>0.2</v>
      </c>
      <c r="H25" s="314">
        <f>IF(AND('order form'!$J$25,D25&lt;=3500),1,0)</f>
        <v>0</v>
      </c>
      <c r="I25" s="317">
        <f t="shared" si="0"/>
        <v>0</v>
      </c>
      <c r="K25" s="312"/>
      <c r="V25" s="314"/>
    </row>
    <row r="26" spans="1:22" x14ac:dyDescent="0.25">
      <c r="A26" s="312" t="s">
        <v>8</v>
      </c>
      <c r="B26" t="s">
        <v>658</v>
      </c>
      <c r="C26" t="s">
        <v>656</v>
      </c>
      <c r="D26">
        <f>'order form'!$K$12+'order form'!$K$14</f>
        <v>3000</v>
      </c>
      <c r="E26">
        <v>0</v>
      </c>
      <c r="F26">
        <v>0.2</v>
      </c>
      <c r="G26">
        <f>F26</f>
        <v>0.2</v>
      </c>
      <c r="H26" s="314">
        <f>IF(AND('order form'!$J$25,D26&gt;3500),1,0)</f>
        <v>0</v>
      </c>
      <c r="I26" s="317">
        <f t="shared" si="0"/>
        <v>0</v>
      </c>
      <c r="K26" s="312"/>
      <c r="V26" s="314"/>
    </row>
    <row r="27" spans="1:22" x14ac:dyDescent="0.25">
      <c r="A27" s="309" t="s">
        <v>10</v>
      </c>
      <c r="B27" s="310" t="s">
        <v>52</v>
      </c>
      <c r="C27" s="310" t="str">
        <f>VLOOKUP('order form'!$D$27,plexi!$A:$E,5,0)</f>
        <v>PL-QUINNSAN-20</v>
      </c>
      <c r="D27" s="310">
        <f>'order form'!$D$84</f>
        <v>929</v>
      </c>
      <c r="E27" s="310">
        <f>'order form'!$E$84</f>
        <v>410</v>
      </c>
      <c r="F27" s="310" t="e">
        <f>'order form'!$G$84*'order form'!$D$25/'order form'!$K$10/'order form'!$J$27</f>
        <v>#DIV/0!</v>
      </c>
      <c r="G27" s="310" t="e">
        <f>D27/1000*E27/1000*F27</f>
        <v>#DIV/0!</v>
      </c>
      <c r="H27" s="311">
        <f>IF(OR(C27="OTHER",'order form'!$J$27=0,'order form'!$F$41),0,1)</f>
        <v>0</v>
      </c>
      <c r="I27" s="316">
        <f t="shared" si="0"/>
        <v>0</v>
      </c>
      <c r="K27" s="309"/>
      <c r="L27" s="310"/>
      <c r="M27" s="310"/>
      <c r="N27" s="310"/>
      <c r="O27" s="310">
        <f>IF(H27,F27,0)</f>
        <v>0</v>
      </c>
      <c r="P27" s="310"/>
      <c r="Q27" s="310"/>
      <c r="R27" s="310"/>
      <c r="S27" s="310"/>
      <c r="T27" s="310"/>
      <c r="U27" s="310">
        <f>IF(H27,F27/'order form'!$D$25,0)</f>
        <v>0</v>
      </c>
      <c r="V27" s="311">
        <f>IF(SUM(H27:H69),1,0)</f>
        <v>0</v>
      </c>
    </row>
    <row r="28" spans="1:22" x14ac:dyDescent="0.25">
      <c r="A28" s="312" t="s">
        <v>10</v>
      </c>
      <c r="B28" t="s">
        <v>542</v>
      </c>
      <c r="C28" t="str">
        <f>C27</f>
        <v>PL-QUINNSAN-20</v>
      </c>
      <c r="D28">
        <f>'order form'!$D$85</f>
        <v>0</v>
      </c>
      <c r="E28">
        <f>'order form'!$E$85</f>
        <v>0</v>
      </c>
      <c r="F28" t="e">
        <f>'order form'!$G$85*'order form'!$D$25/'order form'!$K$10/'order form'!$J$27</f>
        <v>#DIV/0!</v>
      </c>
      <c r="G28" t="e">
        <f>D28/1000*E28/1000*F28</f>
        <v>#DIV/0!</v>
      </c>
      <c r="H28" s="314">
        <f>IF(OR(C28="OTHER",'order form'!$J$27=0,'order form'!$F$41,'order form'!$D$62=0),0,1)</f>
        <v>0</v>
      </c>
      <c r="I28" s="317">
        <f t="shared" si="0"/>
        <v>0</v>
      </c>
      <c r="K28" s="312"/>
      <c r="O28">
        <f>IF(H28,F28,0)</f>
        <v>0</v>
      </c>
      <c r="U28">
        <f>IF(H28,F28/'order form'!$D$25,0)</f>
        <v>0</v>
      </c>
      <c r="V28" s="314"/>
    </row>
    <row r="29" spans="1:22" x14ac:dyDescent="0.25">
      <c r="A29" s="312" t="s">
        <v>10</v>
      </c>
      <c r="B29" t="s">
        <v>543</v>
      </c>
      <c r="C29" t="str">
        <f>C28</f>
        <v>PL-QUINNSAN-20</v>
      </c>
      <c r="D29">
        <f>'order form'!$D$86</f>
        <v>0</v>
      </c>
      <c r="E29">
        <f>'order form'!$E$86</f>
        <v>0</v>
      </c>
      <c r="F29" t="e">
        <f>'order form'!$G$86*'order form'!$D$25/'order form'!$K$10/'order form'!$J$27</f>
        <v>#DIV/0!</v>
      </c>
      <c r="G29" t="e">
        <f>D29/1000*E29/1000*F29</f>
        <v>#DIV/0!</v>
      </c>
      <c r="H29" s="314">
        <f>IF(OR(C29="OTHER",'order form'!$J$27=0,'order form'!$F$41,'order form'!$D$64=0),0,1)</f>
        <v>0</v>
      </c>
      <c r="I29" s="317">
        <f t="shared" si="0"/>
        <v>0</v>
      </c>
      <c r="K29" s="312"/>
      <c r="O29">
        <f>IF(H29,F29,0)</f>
        <v>0</v>
      </c>
      <c r="U29">
        <f>IF(H29,F29/'order form'!$D$25,0)</f>
        <v>0</v>
      </c>
      <c r="V29" s="314"/>
    </row>
    <row r="30" spans="1:22" x14ac:dyDescent="0.25">
      <c r="A30" s="312" t="s">
        <v>10</v>
      </c>
      <c r="B30" t="s">
        <v>531</v>
      </c>
      <c r="C30" t="str">
        <f>IF('order form'!$F$41,SUBSTITUTE(VLOOKUP('order form'!$D$31,lath!$A:$C,3,0),"E","D"),VLOOKUP('order form'!$D$31,lath!$A:$C,3,0))</f>
        <v>APE1000</v>
      </c>
      <c r="D30" s="322">
        <f>'order form'!$D$84+10</f>
        <v>939</v>
      </c>
      <c r="E30">
        <v>0</v>
      </c>
      <c r="F30" t="e">
        <f>'order form'!$G$84/'order form'!$K$10/'order form'!$J$27*2</f>
        <v>#DIV/0!</v>
      </c>
      <c r="G30" t="e">
        <f>D30*F30/1000</f>
        <v>#DIV/0!</v>
      </c>
      <c r="H30" s="314">
        <f>IF('order form'!$J$27=0,0,1)</f>
        <v>0</v>
      </c>
      <c r="I30" s="317">
        <f t="shared" si="0"/>
        <v>0</v>
      </c>
      <c r="K30" s="312"/>
      <c r="P30">
        <f>IF(H30,F30,0)</f>
        <v>0</v>
      </c>
      <c r="V30" s="314"/>
    </row>
    <row r="31" spans="1:22" x14ac:dyDescent="0.25">
      <c r="A31" s="312" t="s">
        <v>10</v>
      </c>
      <c r="B31" t="s">
        <v>545</v>
      </c>
      <c r="C31" t="str">
        <f>C30</f>
        <v>APE1000</v>
      </c>
      <c r="D31" s="322">
        <f>'order form'!$D$85+10</f>
        <v>10</v>
      </c>
      <c r="E31">
        <v>0</v>
      </c>
      <c r="F31" t="e">
        <f>'order form'!$G$85/'order form'!$K$10/'order form'!$J$27*2</f>
        <v>#DIV/0!</v>
      </c>
      <c r="G31" t="e">
        <f>D31*F31/1000</f>
        <v>#DIV/0!</v>
      </c>
      <c r="H31" s="314">
        <f>IF(OR('order form'!$J$27=0,'order form'!$D$62=0),0,1)</f>
        <v>0</v>
      </c>
      <c r="I31" s="317">
        <f t="shared" si="0"/>
        <v>0</v>
      </c>
      <c r="K31" s="312"/>
      <c r="P31">
        <f>IF(H31,F31,0)</f>
        <v>0</v>
      </c>
      <c r="V31" s="314"/>
    </row>
    <row r="32" spans="1:22" x14ac:dyDescent="0.25">
      <c r="A32" s="312" t="s">
        <v>10</v>
      </c>
      <c r="B32" t="s">
        <v>546</v>
      </c>
      <c r="C32" t="str">
        <f>C31</f>
        <v>APE1000</v>
      </c>
      <c r="D32" s="322">
        <f>'order form'!$D$86+10</f>
        <v>10</v>
      </c>
      <c r="E32">
        <v>0</v>
      </c>
      <c r="F32" t="e">
        <f>'order form'!$G$86/'order form'!$K$10/'order form'!$J$27*2</f>
        <v>#DIV/0!</v>
      </c>
      <c r="G32" t="e">
        <f>D32*F32/1000</f>
        <v>#DIV/0!</v>
      </c>
      <c r="H32" s="314">
        <f>IF(OR('order form'!$J$27=0,'order form'!$D$64=0),0,1)</f>
        <v>0</v>
      </c>
      <c r="I32" s="317">
        <f t="shared" si="0"/>
        <v>0</v>
      </c>
      <c r="K32" s="312"/>
      <c r="P32">
        <f>IF(H32,F32,0)</f>
        <v>0</v>
      </c>
      <c r="V32" s="314"/>
    </row>
    <row r="33" spans="1:22" x14ac:dyDescent="0.25">
      <c r="A33" s="312" t="s">
        <v>10</v>
      </c>
      <c r="B33" t="s">
        <v>532</v>
      </c>
      <c r="C33" t="str">
        <f>C32</f>
        <v>APE1000</v>
      </c>
      <c r="D33">
        <v>0</v>
      </c>
      <c r="E33">
        <f>'order form'!$E$98-49</f>
        <v>371</v>
      </c>
      <c r="F33">
        <f>'order form'!$K$18*2</f>
        <v>6</v>
      </c>
      <c r="G33">
        <f>E33*F33/1000</f>
        <v>2.226</v>
      </c>
      <c r="H33" s="314">
        <f>IF('order form'!$J$27=0,0,1)</f>
        <v>0</v>
      </c>
      <c r="I33" s="317">
        <f t="shared" si="0"/>
        <v>0</v>
      </c>
      <c r="K33" s="312"/>
      <c r="P33">
        <f>IF(H33,F33,0)</f>
        <v>0</v>
      </c>
      <c r="V33" s="314"/>
    </row>
    <row r="34" spans="1:22" x14ac:dyDescent="0.25">
      <c r="A34" s="312" t="s">
        <v>10</v>
      </c>
      <c r="B34" t="s">
        <v>533</v>
      </c>
      <c r="C34" t="str">
        <f>IF('order form'!$F$41,"ARD",VLOOKUP('order form'!$D$25,glassing!$A:$C,3,0))</f>
        <v>ARE</v>
      </c>
      <c r="D34">
        <f>'order form'!$D$84</f>
        <v>929</v>
      </c>
      <c r="E34">
        <v>0</v>
      </c>
      <c r="F34" t="e">
        <f>'order form'!$G$84/'order form'!$K$10/'order form'!$J$27*2</f>
        <v>#DIV/0!</v>
      </c>
      <c r="G34" t="e">
        <f>D34*F34/1000</f>
        <v>#DIV/0!</v>
      </c>
      <c r="H34" s="314">
        <f>IF('order form'!$J$27=0,0,1)</f>
        <v>0</v>
      </c>
      <c r="I34" s="317">
        <f t="shared" si="0"/>
        <v>0</v>
      </c>
      <c r="K34" s="312"/>
      <c r="V34" s="314"/>
    </row>
    <row r="35" spans="1:22" x14ac:dyDescent="0.25">
      <c r="A35" s="312" t="s">
        <v>10</v>
      </c>
      <c r="B35" t="s">
        <v>547</v>
      </c>
      <c r="C35" t="str">
        <f>C34</f>
        <v>ARE</v>
      </c>
      <c r="D35">
        <f>'order form'!$D$85</f>
        <v>0</v>
      </c>
      <c r="E35">
        <v>0</v>
      </c>
      <c r="F35" t="e">
        <f>'order form'!$G$85/'order form'!$K$10/'order form'!$J$27*2</f>
        <v>#DIV/0!</v>
      </c>
      <c r="G35" t="e">
        <f>D35*F35/1000</f>
        <v>#DIV/0!</v>
      </c>
      <c r="H35" s="314">
        <f>IF(OR('order form'!$J$27=0,'order form'!$D$62=0),0,1)</f>
        <v>0</v>
      </c>
      <c r="I35" s="317">
        <f t="shared" si="0"/>
        <v>0</v>
      </c>
      <c r="K35" s="312"/>
      <c r="V35" s="314"/>
    </row>
    <row r="36" spans="1:22" x14ac:dyDescent="0.25">
      <c r="A36" s="312" t="s">
        <v>10</v>
      </c>
      <c r="B36" t="s">
        <v>548</v>
      </c>
      <c r="C36" t="str">
        <f>C35</f>
        <v>ARE</v>
      </c>
      <c r="D36">
        <f>'order form'!$D$86</f>
        <v>0</v>
      </c>
      <c r="E36">
        <v>0</v>
      </c>
      <c r="F36" t="e">
        <f>'order form'!$G$86/'order form'!$K$10/'order form'!$J$27*2</f>
        <v>#DIV/0!</v>
      </c>
      <c r="G36" t="e">
        <f>D36*F36/1000</f>
        <v>#DIV/0!</v>
      </c>
      <c r="H36" s="314">
        <f>IF(OR('order form'!$J$27=0,'order form'!$D$64=0),0,1)</f>
        <v>0</v>
      </c>
      <c r="I36" s="317">
        <f t="shared" si="0"/>
        <v>0</v>
      </c>
      <c r="K36" s="312"/>
      <c r="V36" s="314"/>
    </row>
    <row r="37" spans="1:22" x14ac:dyDescent="0.25">
      <c r="A37" s="312" t="s">
        <v>10</v>
      </c>
      <c r="B37" t="s">
        <v>534</v>
      </c>
      <c r="C37" t="str">
        <f>C36</f>
        <v>ARE</v>
      </c>
      <c r="D37">
        <v>0</v>
      </c>
      <c r="E37">
        <f>'order form'!$E$84</f>
        <v>410</v>
      </c>
      <c r="F37">
        <f>'order form'!$K$18*2</f>
        <v>6</v>
      </c>
      <c r="G37">
        <f>E37*F37/1000</f>
        <v>2.46</v>
      </c>
      <c r="H37" s="314">
        <f>IF('order form'!$J$27=0,0,1)</f>
        <v>0</v>
      </c>
      <c r="I37" s="317">
        <f t="shared" si="0"/>
        <v>0</v>
      </c>
      <c r="K37" s="312"/>
      <c r="V37" s="314"/>
    </row>
    <row r="38" spans="1:22" x14ac:dyDescent="0.25">
      <c r="A38" s="312" t="s">
        <v>10</v>
      </c>
      <c r="B38" t="s">
        <v>535</v>
      </c>
      <c r="C38" t="str">
        <f>"ADH"&amp;INDEX(IF('order form'!Q38,plexi!$G$2:$G$6,plexi!$F$2:$F$6),'order form'!$D$27)</f>
        <v>ADH-IT-16-B</v>
      </c>
      <c r="D38">
        <f>'order form'!$D$84-26</f>
        <v>903</v>
      </c>
      <c r="E38">
        <v>0</v>
      </c>
      <c r="F38" t="e">
        <f>'order form'!$G$84/'order form'!$K$10/'order form'!$J$27*2</f>
        <v>#DIV/0!</v>
      </c>
      <c r="G38" t="e">
        <f>D38*F38/1000</f>
        <v>#DIV/0!</v>
      </c>
      <c r="H38" s="314">
        <f>IF(OR('order form'!$J$27=0,'order form'!$D$25=1,$C27="OTHER",'order form'!$F$41),0,1)</f>
        <v>0</v>
      </c>
      <c r="I38" s="317">
        <f t="shared" si="0"/>
        <v>0</v>
      </c>
      <c r="K38" s="312"/>
      <c r="Q38">
        <f>IF(AND(H38,'order form'!$Q$38=FALSE),F38,0)</f>
        <v>0</v>
      </c>
      <c r="V38" s="314"/>
    </row>
    <row r="39" spans="1:22" x14ac:dyDescent="0.25">
      <c r="A39" s="312" t="s">
        <v>10</v>
      </c>
      <c r="B39" t="s">
        <v>549</v>
      </c>
      <c r="C39" t="str">
        <f>C38</f>
        <v>ADH-IT-16-B</v>
      </c>
      <c r="D39">
        <f>'order form'!$D$85-26</f>
        <v>-26</v>
      </c>
      <c r="E39">
        <v>0</v>
      </c>
      <c r="F39" t="e">
        <f>'order form'!$G$85/'order form'!$K$10/'order form'!$J$27*2</f>
        <v>#DIV/0!</v>
      </c>
      <c r="G39" t="e">
        <f>D39*F39/1000</f>
        <v>#DIV/0!</v>
      </c>
      <c r="H39" s="314">
        <f>IF(OR('order form'!$J$27=0,'order form'!$D$25=1,$C28="OTHER",'order form'!$F$41,'order form'!$D$62=0),0,1)</f>
        <v>0</v>
      </c>
      <c r="I39" s="317">
        <f t="shared" si="0"/>
        <v>0</v>
      </c>
      <c r="K39" s="312"/>
      <c r="Q39">
        <f>IF(AND(H39,'order form'!$Q$38=FALSE),F39,0)</f>
        <v>0</v>
      </c>
      <c r="V39" s="314"/>
    </row>
    <row r="40" spans="1:22" x14ac:dyDescent="0.25">
      <c r="A40" s="312" t="s">
        <v>10</v>
      </c>
      <c r="B40" t="s">
        <v>550</v>
      </c>
      <c r="C40" t="str">
        <f>C39</f>
        <v>ADH-IT-16-B</v>
      </c>
      <c r="D40">
        <f>'order form'!$D$86-26</f>
        <v>-26</v>
      </c>
      <c r="E40">
        <v>0</v>
      </c>
      <c r="F40" t="e">
        <f>'order form'!$G$86/'order form'!$K$10/'order form'!$J$27*2</f>
        <v>#DIV/0!</v>
      </c>
      <c r="G40" t="e">
        <f>D40*F40/1000</f>
        <v>#DIV/0!</v>
      </c>
      <c r="H40" s="314">
        <f>IF(OR('order form'!$J$27=0,'order form'!$D$25=1,$C29="OTHER",'order form'!$F$41,'order form'!$D$64=0),0,1)</f>
        <v>0</v>
      </c>
      <c r="I40" s="317">
        <f t="shared" si="0"/>
        <v>0</v>
      </c>
      <c r="K40" s="312"/>
      <c r="Q40">
        <f>IF(AND(H40,'order form'!$Q$38=FALSE),F40,0)</f>
        <v>0</v>
      </c>
      <c r="V40" s="314"/>
    </row>
    <row r="41" spans="1:22" x14ac:dyDescent="0.25">
      <c r="A41" s="312" t="s">
        <v>10</v>
      </c>
      <c r="B41" t="s">
        <v>536</v>
      </c>
      <c r="C41" t="str">
        <f>C40</f>
        <v>ADH-IT-16-B</v>
      </c>
      <c r="D41">
        <v>0</v>
      </c>
      <c r="E41">
        <f>'order form'!$E$84-26</f>
        <v>384</v>
      </c>
      <c r="F41">
        <f>'order form'!$K$18*2</f>
        <v>6</v>
      </c>
      <c r="G41">
        <f>E41*F41/1000</f>
        <v>2.3039999999999998</v>
      </c>
      <c r="H41" s="314">
        <f>IF(OR('order form'!$J$27=0,'order form'!$D$25=1,$C27="OTHER",'order form'!$F$41),0,1)</f>
        <v>0</v>
      </c>
      <c r="I41" s="317">
        <f t="shared" si="0"/>
        <v>0</v>
      </c>
      <c r="K41" s="312"/>
      <c r="Q41">
        <f>IF(AND(H41,'order form'!$Q$38=FALSE),F41,0)</f>
        <v>0</v>
      </c>
      <c r="V41" s="314"/>
    </row>
    <row r="42" spans="1:22" x14ac:dyDescent="0.25">
      <c r="A42" s="312" t="s">
        <v>10</v>
      </c>
      <c r="B42" t="s">
        <v>537</v>
      </c>
      <c r="C42" t="s">
        <v>65</v>
      </c>
      <c r="D42">
        <f>'order form'!$D$84-18</f>
        <v>911</v>
      </c>
      <c r="E42">
        <v>0</v>
      </c>
      <c r="F42" t="e">
        <f>'order form'!$G$84/'order form'!$K$10/'order form'!$J$27*4</f>
        <v>#DIV/0!</v>
      </c>
      <c r="G42" t="e">
        <f>D42*F42/1000</f>
        <v>#DIV/0!</v>
      </c>
      <c r="H42" s="314">
        <f>IF(AND('order form'!$J$27&gt;0,OR(AND('order form'!$D$25=2,$C27&lt;&gt;"OTHER",'order form'!$Q$38=FALSE),'order form'!$F$41)),1,0)</f>
        <v>0</v>
      </c>
      <c r="I42" s="317">
        <f t="shared" si="0"/>
        <v>0</v>
      </c>
      <c r="K42" s="312"/>
      <c r="V42" s="314"/>
    </row>
    <row r="43" spans="1:22" x14ac:dyDescent="0.25">
      <c r="A43" s="312" t="s">
        <v>10</v>
      </c>
      <c r="B43" t="s">
        <v>551</v>
      </c>
      <c r="C43" t="str">
        <f>C42</f>
        <v>ABUT</v>
      </c>
      <c r="D43">
        <f>'order form'!$D$85-18</f>
        <v>-18</v>
      </c>
      <c r="E43">
        <v>0</v>
      </c>
      <c r="F43" t="e">
        <f>'order form'!$G$85/'order form'!$K$10/'order form'!$J$27*4</f>
        <v>#DIV/0!</v>
      </c>
      <c r="G43" t="e">
        <f>D43*F43/1000</f>
        <v>#DIV/0!</v>
      </c>
      <c r="H43" s="314">
        <f>IF(AND('order form'!$J$27&gt;0,OR(AND('order form'!$D$25=2,$C28&lt;&gt;"OTHER",'order form'!$Q$38=FALSE),'order form'!$F$41),'order form'!$D$62&gt;0),1,0)</f>
        <v>0</v>
      </c>
      <c r="I43" s="317">
        <f t="shared" si="0"/>
        <v>0</v>
      </c>
      <c r="K43" s="312"/>
      <c r="V43" s="314"/>
    </row>
    <row r="44" spans="1:22" x14ac:dyDescent="0.25">
      <c r="A44" s="312" t="s">
        <v>10</v>
      </c>
      <c r="B44" t="s">
        <v>552</v>
      </c>
      <c r="C44" t="str">
        <f>C43</f>
        <v>ABUT</v>
      </c>
      <c r="D44">
        <f>'order form'!$D$86-18</f>
        <v>-18</v>
      </c>
      <c r="E44">
        <v>0</v>
      </c>
      <c r="F44" t="e">
        <f>'order form'!$G$86/'order form'!$K$10/'order form'!$J$27*4</f>
        <v>#DIV/0!</v>
      </c>
      <c r="G44" t="e">
        <f>D44*F44/1000</f>
        <v>#DIV/0!</v>
      </c>
      <c r="H44" s="314">
        <f>IF(AND('order form'!$J$27&gt;0,OR(AND('order form'!$D$25=2,$C29&lt;&gt;"OTHER",'order form'!$Q$38=FALSE),'order form'!$F$41),'order form'!$D$64&gt;0),1,0)</f>
        <v>0</v>
      </c>
      <c r="I44" s="317">
        <f t="shared" si="0"/>
        <v>0</v>
      </c>
      <c r="K44" s="312"/>
      <c r="V44" s="314"/>
    </row>
    <row r="45" spans="1:22" x14ac:dyDescent="0.25">
      <c r="A45" s="312" t="s">
        <v>10</v>
      </c>
      <c r="B45" t="s">
        <v>538</v>
      </c>
      <c r="C45" t="str">
        <f>C44</f>
        <v>ABUT</v>
      </c>
      <c r="D45">
        <v>0</v>
      </c>
      <c r="E45" s="322">
        <f>'order form'!$E$84-18</f>
        <v>392</v>
      </c>
      <c r="F45">
        <f>'order form'!$K$18*4</f>
        <v>12</v>
      </c>
      <c r="G45">
        <f>E45*F45/1000</f>
        <v>4.7039999999999997</v>
      </c>
      <c r="H45" s="314">
        <f>IF(AND('order form'!$J$27&gt;0,OR(AND('order form'!$D$25=2,$C27&lt;&gt;"OTHER",'order form'!$Q$38=FALSE),'order form'!$F$41)),1,0)</f>
        <v>0</v>
      </c>
      <c r="I45" s="317">
        <f t="shared" si="0"/>
        <v>0</v>
      </c>
      <c r="K45" s="312"/>
      <c r="V45" s="314"/>
    </row>
    <row r="46" spans="1:22" x14ac:dyDescent="0.25">
      <c r="A46" s="312" t="s">
        <v>10</v>
      </c>
      <c r="B46" t="s">
        <v>540</v>
      </c>
      <c r="C46" t="str">
        <f>"ADH-COR"&amp;INDEX(plexi!$F$2:$F$6,'order form'!$D$27)</f>
        <v>ADH-COR155</v>
      </c>
      <c r="D46">
        <v>0</v>
      </c>
      <c r="E46">
        <v>0</v>
      </c>
      <c r="F46">
        <f>'order form'!$K$18*4</f>
        <v>12</v>
      </c>
      <c r="G46">
        <f>F46</f>
        <v>12</v>
      </c>
      <c r="H46" s="314">
        <f>IF(OR('order form'!$J$27=0,'order form'!$D$25=1,$C27="OTHER",'order form'!$F$41,'order form'!$Q$38=TRUE),0,1)</f>
        <v>0</v>
      </c>
      <c r="I46" s="317">
        <f t="shared" si="0"/>
        <v>0</v>
      </c>
      <c r="K46" s="312"/>
      <c r="R46">
        <f>IF(H46,F46/4,0)</f>
        <v>0</v>
      </c>
      <c r="V46" s="314"/>
    </row>
    <row r="47" spans="1:22" x14ac:dyDescent="0.25">
      <c r="A47" s="312" t="s">
        <v>10</v>
      </c>
      <c r="B47" t="s">
        <v>541</v>
      </c>
      <c r="C47" t="s">
        <v>66</v>
      </c>
      <c r="D47">
        <f>'order form'!$D$84</f>
        <v>929</v>
      </c>
      <c r="E47">
        <f>'order form'!$E$84</f>
        <v>410</v>
      </c>
      <c r="F47" t="e">
        <f>'order form'!$G$84/'order form'!$K$10/'order form'!$J$27*2</f>
        <v>#DIV/0!</v>
      </c>
      <c r="G47" t="e">
        <f>(D47+E47)*F47/18000/IF(AND('order form'!Q38,H27),2,1)</f>
        <v>#DIV/0!</v>
      </c>
      <c r="H47" s="314">
        <f>IF(AND('order form'!$J$27&gt;0,OR(AND('order form'!$D$25=2,$C27&lt;&gt;"OTHER"),'order form'!$F$41)),1,0)</f>
        <v>0</v>
      </c>
      <c r="I47" s="317">
        <f t="shared" si="0"/>
        <v>0</v>
      </c>
      <c r="K47" s="312"/>
      <c r="S47">
        <f>IF(H47,F47/2,0)</f>
        <v>0</v>
      </c>
      <c r="V47" s="314"/>
    </row>
    <row r="48" spans="1:22" x14ac:dyDescent="0.25">
      <c r="A48" s="312" t="s">
        <v>10</v>
      </c>
      <c r="B48" t="s">
        <v>638</v>
      </c>
      <c r="C48" t="str">
        <f>C47</f>
        <v>ASIL</v>
      </c>
      <c r="D48">
        <f>'order form'!$D$85</f>
        <v>0</v>
      </c>
      <c r="E48">
        <f>'order form'!$E$85</f>
        <v>0</v>
      </c>
      <c r="F48" t="e">
        <f>'order form'!$G$85/'order form'!$K$10/'order form'!$J$27*2</f>
        <v>#DIV/0!</v>
      </c>
      <c r="G48" t="e">
        <f>(D48+E48)*F48/18000/IF(AND('order form'!Q38,H28),2,1)</f>
        <v>#DIV/0!</v>
      </c>
      <c r="H48" s="314">
        <f>IF(AND('order form'!$J$27&gt;0,OR(AND('order form'!$D$25=2,$C28&lt;&gt;"OTHER"),'order form'!$F$41),'order form'!$D$62&gt;0),1,0)</f>
        <v>0</v>
      </c>
      <c r="I48" s="317">
        <f t="shared" si="0"/>
        <v>0</v>
      </c>
      <c r="K48" s="312"/>
      <c r="S48">
        <f>IF(H48,F48/2,0)</f>
        <v>0</v>
      </c>
      <c r="V48" s="314"/>
    </row>
    <row r="49" spans="1:22" x14ac:dyDescent="0.25">
      <c r="A49" s="312" t="s">
        <v>10</v>
      </c>
      <c r="B49" t="s">
        <v>639</v>
      </c>
      <c r="C49" t="str">
        <f>C48</f>
        <v>ASIL</v>
      </c>
      <c r="D49">
        <f>'order form'!$D$86</f>
        <v>0</v>
      </c>
      <c r="E49">
        <f>'order form'!$E$86</f>
        <v>0</v>
      </c>
      <c r="F49" t="e">
        <f>'order form'!$G$86/'order form'!$K$10/'order form'!$J$27*2</f>
        <v>#DIV/0!</v>
      </c>
      <c r="G49" t="e">
        <f>(D49+E49)*F49/18000/IF(AND('order form'!Q38,H29),2,1)</f>
        <v>#DIV/0!</v>
      </c>
      <c r="H49" s="314">
        <f>IF(AND('order form'!$J$27&gt;0,OR(AND('order form'!$D$25=2,$C29&lt;&gt;"OTHER"),'order form'!$F$41),'order form'!$D$64&gt;0),1,0)</f>
        <v>0</v>
      </c>
      <c r="I49" s="317">
        <f t="shared" si="0"/>
        <v>0</v>
      </c>
      <c r="K49" s="312"/>
      <c r="S49">
        <f>IF(H49,F49/2,0)</f>
        <v>0</v>
      </c>
      <c r="V49" s="314"/>
    </row>
    <row r="50" spans="1:22" x14ac:dyDescent="0.25">
      <c r="A50" s="312" t="s">
        <v>10</v>
      </c>
      <c r="B50" t="s">
        <v>246</v>
      </c>
      <c r="C50" t="s">
        <v>243</v>
      </c>
      <c r="D50">
        <f>'order form'!$D$84</f>
        <v>929</v>
      </c>
      <c r="E50">
        <f>'order form'!$E$84</f>
        <v>410</v>
      </c>
      <c r="F50" t="e">
        <f>'order form'!$G$84/'order form'!$K$10/'order form'!$J$27*2</f>
        <v>#DIV/0!</v>
      </c>
      <c r="G50" t="e">
        <f t="shared" ref="G50:G55" si="1">D50/1000*E50/1000*F50</f>
        <v>#DIV/0!</v>
      </c>
      <c r="H50" s="314">
        <f>IF(AND('order form'!$F$41,'order form'!$D$38=1,'order form'!$J$27&gt;0),1,0)</f>
        <v>0</v>
      </c>
      <c r="I50" s="317">
        <f t="shared" si="0"/>
        <v>0</v>
      </c>
      <c r="K50" s="312"/>
      <c r="O50">
        <f t="shared" ref="O50:O55" si="2">IF(H50,F50,0)</f>
        <v>0</v>
      </c>
      <c r="V50" s="314"/>
    </row>
    <row r="51" spans="1:22" x14ac:dyDescent="0.25">
      <c r="A51" s="312" t="s">
        <v>10</v>
      </c>
      <c r="B51" t="s">
        <v>553</v>
      </c>
      <c r="C51" t="str">
        <f>C50</f>
        <v>AB-STUC</v>
      </c>
      <c r="D51">
        <f>'order form'!$D$85</f>
        <v>0</v>
      </c>
      <c r="E51">
        <f>'order form'!$E$85</f>
        <v>0</v>
      </c>
      <c r="F51" t="e">
        <f>'order form'!$G$85/'order form'!$K$10/'order form'!$J$27*2</f>
        <v>#DIV/0!</v>
      </c>
      <c r="G51" t="e">
        <f t="shared" si="1"/>
        <v>#DIV/0!</v>
      </c>
      <c r="H51" s="314">
        <f>IF(AND('order form'!$F$41,'order form'!$D$38=1,'order form'!$J$27&gt;0,'order form'!$D$62&gt;0),1,0)</f>
        <v>0</v>
      </c>
      <c r="I51" s="317">
        <f t="shared" si="0"/>
        <v>0</v>
      </c>
      <c r="K51" s="312"/>
      <c r="O51">
        <f t="shared" si="2"/>
        <v>0</v>
      </c>
      <c r="V51" s="314"/>
    </row>
    <row r="52" spans="1:22" x14ac:dyDescent="0.25">
      <c r="A52" s="312" t="s">
        <v>10</v>
      </c>
      <c r="B52" t="s">
        <v>554</v>
      </c>
      <c r="C52" t="str">
        <f>C51</f>
        <v>AB-STUC</v>
      </c>
      <c r="D52">
        <f>'order form'!$D$86</f>
        <v>0</v>
      </c>
      <c r="E52">
        <f>'order form'!$E$86</f>
        <v>0</v>
      </c>
      <c r="F52" t="e">
        <f>'order form'!$G$86/'order form'!$K$10/'order form'!$J$27*2</f>
        <v>#DIV/0!</v>
      </c>
      <c r="G52" t="e">
        <f t="shared" si="1"/>
        <v>#DIV/0!</v>
      </c>
      <c r="H52" s="314">
        <f>IF(AND('order form'!$F$41,'order form'!$D$38=1,'order form'!$J$27&gt;0,'order form'!$D$64&gt;0),1,0)</f>
        <v>0</v>
      </c>
      <c r="I52" s="317">
        <f t="shared" si="0"/>
        <v>0</v>
      </c>
      <c r="K52" s="312"/>
      <c r="O52">
        <f t="shared" si="2"/>
        <v>0</v>
      </c>
      <c r="V52" s="314"/>
    </row>
    <row r="53" spans="1:22" x14ac:dyDescent="0.25">
      <c r="A53" s="312" t="s">
        <v>10</v>
      </c>
      <c r="B53" t="s">
        <v>248</v>
      </c>
      <c r="C53" t="s">
        <v>245</v>
      </c>
      <c r="D53">
        <f>'order form'!$D$84</f>
        <v>929</v>
      </c>
      <c r="E53">
        <f>'order form'!$E$84</f>
        <v>410</v>
      </c>
      <c r="F53" t="e">
        <f>'order form'!$G$84/'order form'!$K$10/'order form'!$J$27</f>
        <v>#DIV/0!</v>
      </c>
      <c r="G53" t="e">
        <f t="shared" si="1"/>
        <v>#DIV/0!</v>
      </c>
      <c r="H53" s="314">
        <f>IF(AND('order form'!$F$41,'order form'!$D$38=1,'order form'!$J$27&gt;0),1,0)</f>
        <v>0</v>
      </c>
      <c r="I53" s="317">
        <f t="shared" si="0"/>
        <v>0</v>
      </c>
      <c r="K53" s="312"/>
      <c r="O53">
        <f t="shared" si="2"/>
        <v>0</v>
      </c>
      <c r="U53">
        <f>IF(H53,F53,0)</f>
        <v>0</v>
      </c>
      <c r="V53" s="314"/>
    </row>
    <row r="54" spans="1:22" x14ac:dyDescent="0.25">
      <c r="A54" s="312" t="s">
        <v>10</v>
      </c>
      <c r="B54" t="s">
        <v>555</v>
      </c>
      <c r="C54" t="str">
        <f>C53</f>
        <v>AB-NIKE</v>
      </c>
      <c r="D54">
        <f>'order form'!$D$85</f>
        <v>0</v>
      </c>
      <c r="E54">
        <f>'order form'!$E$85</f>
        <v>0</v>
      </c>
      <c r="F54" t="e">
        <f>'order form'!$G$85/'order form'!$K$10/'order form'!$J$27</f>
        <v>#DIV/0!</v>
      </c>
      <c r="G54" t="e">
        <f t="shared" si="1"/>
        <v>#DIV/0!</v>
      </c>
      <c r="H54" s="314">
        <f>IF(AND('order form'!$F$41,'order form'!$D$38=1,'order form'!$J$27&gt;0,'order form'!$D$62&gt;0),1,0)</f>
        <v>0</v>
      </c>
      <c r="I54" s="317">
        <f t="shared" si="0"/>
        <v>0</v>
      </c>
      <c r="K54" s="312"/>
      <c r="O54">
        <f t="shared" si="2"/>
        <v>0</v>
      </c>
      <c r="U54">
        <f>IF(H54,F54,0)</f>
        <v>0</v>
      </c>
      <c r="V54" s="314"/>
    </row>
    <row r="55" spans="1:22" x14ac:dyDescent="0.25">
      <c r="A55" s="312" t="s">
        <v>10</v>
      </c>
      <c r="B55" t="s">
        <v>556</v>
      </c>
      <c r="C55" t="str">
        <f>C54</f>
        <v>AB-NIKE</v>
      </c>
      <c r="D55">
        <f>'order form'!$D$86</f>
        <v>0</v>
      </c>
      <c r="E55">
        <f>'order form'!$E$86</f>
        <v>0</v>
      </c>
      <c r="F55" t="e">
        <f>'order form'!$G$86/'order form'!$K$10/'order form'!$J$27</f>
        <v>#DIV/0!</v>
      </c>
      <c r="G55" t="e">
        <f t="shared" si="1"/>
        <v>#DIV/0!</v>
      </c>
      <c r="H55" s="314">
        <f>IF(AND('order form'!$F$41,'order form'!$D$38=1,'order form'!$J$27&gt;0,'order form'!$D$64&gt;0),1,0)</f>
        <v>0</v>
      </c>
      <c r="I55" s="317">
        <f t="shared" si="0"/>
        <v>0</v>
      </c>
      <c r="K55" s="312"/>
      <c r="O55">
        <f t="shared" si="2"/>
        <v>0</v>
      </c>
      <c r="U55">
        <f>IF(H55,F55,0)</f>
        <v>0</v>
      </c>
      <c r="V55" s="314"/>
    </row>
    <row r="56" spans="1:22" x14ac:dyDescent="0.25">
      <c r="A56" s="312" t="s">
        <v>10</v>
      </c>
      <c r="B56" t="s">
        <v>58</v>
      </c>
      <c r="C56" t="s">
        <v>67</v>
      </c>
      <c r="D56">
        <f>'order form'!$K$12+'order form'!$K$14+100</f>
        <v>3100</v>
      </c>
      <c r="E56">
        <v>0</v>
      </c>
      <c r="F56">
        <v>1</v>
      </c>
      <c r="G56">
        <f>D56/1000*F56</f>
        <v>3.1</v>
      </c>
      <c r="H56" s="314">
        <f>IF('order form'!$J$27=0,0,1)</f>
        <v>0</v>
      </c>
      <c r="I56" s="317">
        <f t="shared" si="0"/>
        <v>0</v>
      </c>
      <c r="K56" s="312"/>
      <c r="T56">
        <f>IF(H56,F56,0)</f>
        <v>0</v>
      </c>
      <c r="V56" s="314"/>
    </row>
    <row r="57" spans="1:22" x14ac:dyDescent="0.25">
      <c r="A57" s="312" t="s">
        <v>10</v>
      </c>
      <c r="B57" t="s">
        <v>59</v>
      </c>
      <c r="C57" t="str">
        <f>CONCATENATE('order form'!$D$94,1000)</f>
        <v>A4T1000</v>
      </c>
      <c r="D57">
        <f>'order form'!$E$94</f>
        <v>3000</v>
      </c>
      <c r="E57">
        <v>0</v>
      </c>
      <c r="F57" t="e">
        <f>'order form'!$G$94/'order form'!$K$10/'order form'!$J$27</f>
        <v>#DIV/0!</v>
      </c>
      <c r="G57" t="e">
        <f>D57/1000*F57</f>
        <v>#DIV/0!</v>
      </c>
      <c r="H57" s="314">
        <f>IF('order form'!$J$27=0,0,1)</f>
        <v>0</v>
      </c>
      <c r="I57" s="317">
        <f t="shared" si="0"/>
        <v>0</v>
      </c>
      <c r="K57" s="312">
        <f>IF(H57,F57,0)</f>
        <v>0</v>
      </c>
      <c r="V57" s="314"/>
    </row>
    <row r="58" spans="1:22" x14ac:dyDescent="0.25">
      <c r="A58" s="312" t="s">
        <v>10</v>
      </c>
      <c r="B58" t="s">
        <v>557</v>
      </c>
      <c r="C58" t="str">
        <f>CONCATENATE('order form'!$D$95,1000)</f>
        <v>A4T1000</v>
      </c>
      <c r="D58">
        <f>'order form'!$E$95</f>
        <v>0</v>
      </c>
      <c r="E58">
        <v>0</v>
      </c>
      <c r="F58" t="e">
        <f>'order form'!$G$95/'order form'!$K$10/'order form'!$J$27</f>
        <v>#DIV/0!</v>
      </c>
      <c r="G58" t="e">
        <f>D58/1000*F58</f>
        <v>#DIV/0!</v>
      </c>
      <c r="H58" s="314">
        <f>IF(OR('order form'!$J$27=0,'order form'!$D$62=0),0,1)</f>
        <v>0</v>
      </c>
      <c r="I58" s="317">
        <f t="shared" si="0"/>
        <v>0</v>
      </c>
      <c r="K58" s="312">
        <f>IF(H58,F58,0)</f>
        <v>0</v>
      </c>
      <c r="V58" s="314"/>
    </row>
    <row r="59" spans="1:22" x14ac:dyDescent="0.25">
      <c r="A59" s="312" t="s">
        <v>10</v>
      </c>
      <c r="B59" t="s">
        <v>558</v>
      </c>
      <c r="C59" t="str">
        <f>CONCATENATE('order form'!$D$96,1000)</f>
        <v>A4T1000</v>
      </c>
      <c r="D59">
        <f>'order form'!$E$96</f>
        <v>0</v>
      </c>
      <c r="E59">
        <v>0</v>
      </c>
      <c r="F59" t="e">
        <f>'order form'!$G$96/'order form'!$K$10/'order form'!$J$27</f>
        <v>#DIV/0!</v>
      </c>
      <c r="G59" t="e">
        <f>D59/1000*F59</f>
        <v>#DIV/0!</v>
      </c>
      <c r="H59" s="314">
        <f>IF(OR('order form'!$J$27=0,'order form'!$D$64=0),0,1)</f>
        <v>0</v>
      </c>
      <c r="I59" s="317">
        <f t="shared" si="0"/>
        <v>0</v>
      </c>
      <c r="K59" s="312">
        <f>IF(H59,F59,0)</f>
        <v>0</v>
      </c>
      <c r="V59" s="314"/>
    </row>
    <row r="60" spans="1:22" x14ac:dyDescent="0.25">
      <c r="A60" s="312" t="s">
        <v>10</v>
      </c>
      <c r="B60" t="s">
        <v>60</v>
      </c>
      <c r="C60" t="str">
        <f>CONCATENATE('order form'!$D$98,1000)</f>
        <v>A1E1000</v>
      </c>
      <c r="D60">
        <v>0</v>
      </c>
      <c r="E60">
        <f>'order form'!$E$98</f>
        <v>420</v>
      </c>
      <c r="F60" t="e">
        <f>'order form'!$G$98/'order form'!$K$10/'order form'!$J$27</f>
        <v>#DIV/0!</v>
      </c>
      <c r="G60" t="e">
        <f>E60*F60/1000</f>
        <v>#DIV/0!</v>
      </c>
      <c r="H60" s="314">
        <f>IF('order form'!$J$27=0,0,1)</f>
        <v>0</v>
      </c>
      <c r="I60" s="317">
        <f t="shared" si="0"/>
        <v>0</v>
      </c>
      <c r="K60" s="312"/>
      <c r="L60">
        <f>IF(H60,F60*4,0)</f>
        <v>0</v>
      </c>
      <c r="M60">
        <f>IF(H60,F60,0)</f>
        <v>0</v>
      </c>
      <c r="N60">
        <f>IF(H60,F60*4,0)</f>
        <v>0</v>
      </c>
      <c r="V60" s="314"/>
    </row>
    <row r="61" spans="1:22" x14ac:dyDescent="0.25">
      <c r="A61" s="312" t="s">
        <v>10</v>
      </c>
      <c r="B61" t="s">
        <v>559</v>
      </c>
      <c r="C61" t="str">
        <f>CONCATENATE('order form'!$D$99,1000)</f>
        <v>A1E1000</v>
      </c>
      <c r="D61">
        <v>0</v>
      </c>
      <c r="E61">
        <f>'order form'!$E$99</f>
        <v>420</v>
      </c>
      <c r="F61" t="e">
        <f>'order form'!$G$99/'order form'!$K$10/'order form'!$J$27</f>
        <v>#DIV/0!</v>
      </c>
      <c r="G61" t="e">
        <f>E61*F61/1000</f>
        <v>#DIV/0!</v>
      </c>
      <c r="H61" s="314">
        <f>IF(AND('order form'!$J$27,'order form'!$D$60&gt;0),1,0)</f>
        <v>0</v>
      </c>
      <c r="I61" s="317">
        <f t="shared" si="0"/>
        <v>0</v>
      </c>
      <c r="K61" s="312"/>
      <c r="L61">
        <f>IF(H61,F61*4,0)</f>
        <v>0</v>
      </c>
      <c r="M61">
        <f>IF(H61,F61,0)</f>
        <v>0</v>
      </c>
      <c r="N61">
        <f>IF(H61,F61*4,0)</f>
        <v>0</v>
      </c>
      <c r="V61" s="314"/>
    </row>
    <row r="62" spans="1:22" x14ac:dyDescent="0.25">
      <c r="A62" s="312" t="s">
        <v>10</v>
      </c>
      <c r="B62" t="s">
        <v>61</v>
      </c>
      <c r="C62" t="str">
        <f>CONCATENATE('order form'!$D$100,1000)</f>
        <v>A2M1000</v>
      </c>
      <c r="D62">
        <v>0</v>
      </c>
      <c r="E62">
        <f>'order form'!$E$100</f>
        <v>420</v>
      </c>
      <c r="F62" t="e">
        <f>'order form'!$G$100/'order form'!$K$10/'order form'!$J$27</f>
        <v>#DIV/0!</v>
      </c>
      <c r="G62" t="e">
        <f>E62*F62/1000</f>
        <v>#DIV/0!</v>
      </c>
      <c r="H62" s="314">
        <f>IF('order form'!$J$27=0,0,1)</f>
        <v>0</v>
      </c>
      <c r="I62" s="317">
        <f t="shared" si="0"/>
        <v>0</v>
      </c>
      <c r="K62" s="312"/>
      <c r="L62">
        <f>IF(H62,F62*2,0)</f>
        <v>0</v>
      </c>
      <c r="M62">
        <f>IF(H62,F62,0)</f>
        <v>0</v>
      </c>
      <c r="N62">
        <f>IF(H62,F62*2,0)</f>
        <v>0</v>
      </c>
      <c r="V62" s="314"/>
    </row>
    <row r="63" spans="1:22" x14ac:dyDescent="0.25">
      <c r="A63" s="312" t="s">
        <v>10</v>
      </c>
      <c r="B63" t="s">
        <v>62</v>
      </c>
      <c r="C63" t="str">
        <f>CONCATENATE('order form'!$D$101,1000)</f>
        <v>A3B1000</v>
      </c>
      <c r="D63">
        <f>'order form'!$E$101</f>
        <v>3000</v>
      </c>
      <c r="E63">
        <v>0</v>
      </c>
      <c r="F63" t="e">
        <f>'order form'!$G$101/'order form'!$K$10/'order form'!$J$27</f>
        <v>#DIV/0!</v>
      </c>
      <c r="G63" t="e">
        <f>D63/1000*F63</f>
        <v>#DIV/0!</v>
      </c>
      <c r="H63" s="314">
        <f>IF('order form'!$J$27=0,0,1)</f>
        <v>0</v>
      </c>
      <c r="I63" s="317">
        <f t="shared" si="0"/>
        <v>0</v>
      </c>
      <c r="K63" s="312">
        <f>IF(H63,F63,0)</f>
        <v>0</v>
      </c>
      <c r="V63" s="314"/>
    </row>
    <row r="64" spans="1:22" x14ac:dyDescent="0.25">
      <c r="A64" s="312" t="s">
        <v>10</v>
      </c>
      <c r="B64" t="s">
        <v>560</v>
      </c>
      <c r="C64" t="str">
        <f>CONCATENATE('order form'!$D$102,1000)</f>
        <v>A3B1000</v>
      </c>
      <c r="D64">
        <f>'order form'!$E$102</f>
        <v>0</v>
      </c>
      <c r="E64">
        <v>0</v>
      </c>
      <c r="F64" t="e">
        <f>'order form'!$G$102/'order form'!$K$10/'order form'!$J$27</f>
        <v>#DIV/0!</v>
      </c>
      <c r="G64" t="e">
        <f>D64/1000*F64</f>
        <v>#DIV/0!</v>
      </c>
      <c r="H64" s="314">
        <f>IF(OR('order form'!$J$27=0,'order form'!$D$62=0),0,1)</f>
        <v>0</v>
      </c>
      <c r="I64" s="317">
        <f t="shared" si="0"/>
        <v>0</v>
      </c>
      <c r="K64" s="312">
        <f>IF(H64,F64,0)</f>
        <v>0</v>
      </c>
      <c r="V64" s="314"/>
    </row>
    <row r="65" spans="1:22" x14ac:dyDescent="0.25">
      <c r="A65" s="312" t="s">
        <v>10</v>
      </c>
      <c r="B65" t="s">
        <v>561</v>
      </c>
      <c r="C65" t="str">
        <f>CONCATENATE('order form'!$D$103,1000)</f>
        <v>A3B1000</v>
      </c>
      <c r="D65">
        <f>'order form'!$E$103</f>
        <v>0</v>
      </c>
      <c r="E65">
        <v>0</v>
      </c>
      <c r="F65" t="e">
        <f>'order form'!$G$103/'order form'!$K$10/'order form'!$J$27</f>
        <v>#DIV/0!</v>
      </c>
      <c r="G65" t="e">
        <f>D65/1000*F65</f>
        <v>#DIV/0!</v>
      </c>
      <c r="H65" s="314">
        <f>IF(OR('order form'!$J$27=0,'order form'!$D$64=0),0,1)</f>
        <v>0</v>
      </c>
      <c r="I65" s="317">
        <f t="shared" si="0"/>
        <v>0</v>
      </c>
      <c r="K65" s="312">
        <f>IF(H65,F65,0)</f>
        <v>0</v>
      </c>
      <c r="V65" s="314"/>
    </row>
    <row r="66" spans="1:22" x14ac:dyDescent="0.25">
      <c r="A66" s="312" t="s">
        <v>10</v>
      </c>
      <c r="B66" t="s">
        <v>257</v>
      </c>
      <c r="C66" t="str">
        <f>CONCATENATE('order form'!$D$97,IF(paneltypes!$C$13,1000,""))</f>
        <v xml:space="preserve"> - </v>
      </c>
      <c r="D66">
        <f>IF(ISERROR(VALUE('order form'!$E$97)),0,'order form'!$E$97)</f>
        <v>0</v>
      </c>
      <c r="E66">
        <v>0</v>
      </c>
      <c r="F66">
        <v>1</v>
      </c>
      <c r="G66">
        <f>D66/1000*F66</f>
        <v>0</v>
      </c>
      <c r="H66" s="314">
        <f>IF(AND('order form'!$J$27,D66),1,0)</f>
        <v>0</v>
      </c>
      <c r="I66" s="317">
        <f t="shared" si="0"/>
        <v>0</v>
      </c>
      <c r="K66" s="312">
        <f>IF(H66,F66,0)</f>
        <v>0</v>
      </c>
      <c r="V66" s="314"/>
    </row>
    <row r="67" spans="1:22" x14ac:dyDescent="0.25">
      <c r="A67" s="312" t="s">
        <v>10</v>
      </c>
      <c r="B67" t="s">
        <v>68</v>
      </c>
      <c r="C67" t="s">
        <v>69</v>
      </c>
      <c r="D67">
        <v>0</v>
      </c>
      <c r="E67">
        <v>0</v>
      </c>
      <c r="F67" t="e">
        <f>(F60*H60+F61*H61)*4+F62*H62*2</f>
        <v>#DIV/0!</v>
      </c>
      <c r="G67" t="e">
        <f>F67</f>
        <v>#DIV/0!</v>
      </c>
      <c r="H67" s="314">
        <f>IF('order form'!$J$27=0,0,1)</f>
        <v>0</v>
      </c>
      <c r="I67" s="317">
        <f t="shared" si="0"/>
        <v>0</v>
      </c>
      <c r="K67" s="312"/>
      <c r="V67" s="314"/>
    </row>
    <row r="68" spans="1:22" x14ac:dyDescent="0.25">
      <c r="A68" s="312" t="s">
        <v>10</v>
      </c>
      <c r="B68" t="s">
        <v>499</v>
      </c>
      <c r="C68" t="s">
        <v>498</v>
      </c>
      <c r="D68">
        <f>'order form'!$K$12+'order form'!$K$14</f>
        <v>3000</v>
      </c>
      <c r="E68">
        <f>'order form'!$K$27</f>
        <v>500</v>
      </c>
      <c r="F68" t="e">
        <f>ROUNDUP(('order form'!$J$25+'order form'!$J$27+'order form'!$J$29)*'order form'!$K$10/8,0)*2/6/(('order form'!$J$25+'order form'!$J$27+'order form'!$J$29)*'order form'!$K$10)</f>
        <v>#DIV/0!</v>
      </c>
      <c r="G68" t="e">
        <f>D68/1000*E68/1000*F68</f>
        <v>#DIV/0!</v>
      </c>
      <c r="H68" s="314">
        <f>IF('order form'!$J$27&gt;0,1,0)</f>
        <v>0</v>
      </c>
      <c r="I68" s="317">
        <f t="shared" si="0"/>
        <v>0</v>
      </c>
      <c r="K68" s="312"/>
      <c r="V68" s="314"/>
    </row>
    <row r="69" spans="1:22" x14ac:dyDescent="0.25">
      <c r="A69" s="312" t="s">
        <v>10</v>
      </c>
      <c r="B69" t="s">
        <v>522</v>
      </c>
      <c r="C69" t="s">
        <v>523</v>
      </c>
      <c r="D69">
        <f>'order form'!$K$12+'order form'!$K$14</f>
        <v>3000</v>
      </c>
      <c r="E69">
        <f>'order form'!$K$27</f>
        <v>500</v>
      </c>
      <c r="F69">
        <f>2/2000</f>
        <v>1E-3</v>
      </c>
      <c r="G69">
        <f>(D69+E69)*F69</f>
        <v>3.5</v>
      </c>
      <c r="H69" s="314">
        <f>IF('order form'!$J$27,1,0)</f>
        <v>0</v>
      </c>
      <c r="I69" s="317">
        <f t="shared" si="0"/>
        <v>0</v>
      </c>
      <c r="K69" s="312"/>
      <c r="V69" s="314"/>
    </row>
    <row r="70" spans="1:22" x14ac:dyDescent="0.25">
      <c r="A70" s="312" t="s">
        <v>10</v>
      </c>
      <c r="B70" t="s">
        <v>651</v>
      </c>
      <c r="C70" t="s">
        <v>652</v>
      </c>
      <c r="D70">
        <f>'order form'!$K$12+'order form'!$K$14</f>
        <v>3000</v>
      </c>
      <c r="E70">
        <v>0</v>
      </c>
      <c r="F70" t="e">
        <f>IF(D70&gt;3500,4,3)*3*ROUNDUP(('order form'!$J$25+'order form'!$J$27+'order form'!$J$29)*'order form'!$K$10/8,0)/(('order form'!$J$25+'order form'!$J$27+'order form'!$J$29)*'order form'!$K$10)</f>
        <v>#DIV/0!</v>
      </c>
      <c r="G70" t="e">
        <f>F70</f>
        <v>#DIV/0!</v>
      </c>
      <c r="H70" s="314">
        <f>IF('order form'!$J$27,1,0)</f>
        <v>0</v>
      </c>
      <c r="I70" s="317">
        <f t="shared" ref="I70:I73" si="3">IF(H70,G70,0)</f>
        <v>0</v>
      </c>
      <c r="K70" s="312"/>
      <c r="V70" s="314"/>
    </row>
    <row r="71" spans="1:22" x14ac:dyDescent="0.25">
      <c r="A71" s="312" t="s">
        <v>10</v>
      </c>
      <c r="B71" t="s">
        <v>654</v>
      </c>
      <c r="C71" t="s">
        <v>653</v>
      </c>
      <c r="D71" t="e">
        <f>(('order form'!$J$25+'order form'!$J$27+'order form'!$J$29)*'order form'!$K$10)/ROUNDUP(('order form'!$J$25+'order form'!$J$27+'order form'!$J$29)*'order form'!$K$10/8,0)*40+2*3.2</f>
        <v>#DIV/0!</v>
      </c>
      <c r="E71">
        <f>'order form'!$K$27</f>
        <v>500</v>
      </c>
      <c r="F71" t="e">
        <f>2*ROUNDUP(('order form'!$J$25+'order form'!$J$27+'order form'!$J$29)*'order form'!$K$10/8,0)/(('order form'!$J$25+'order form'!$J$27+'order form'!$J$29)*'order form'!$K$10)</f>
        <v>#DIV/0!</v>
      </c>
      <c r="G71" t="e">
        <f>(2*(D71+E71)+200)*F71/1000</f>
        <v>#DIV/0!</v>
      </c>
      <c r="H71" s="314">
        <f>IF('order form'!$J$27,1,0)</f>
        <v>0</v>
      </c>
      <c r="I71" s="317">
        <f t="shared" si="3"/>
        <v>0</v>
      </c>
      <c r="K71" s="312"/>
      <c r="V71" s="314"/>
    </row>
    <row r="72" spans="1:22" x14ac:dyDescent="0.25">
      <c r="A72" s="312" t="s">
        <v>10</v>
      </c>
      <c r="B72" t="s">
        <v>657</v>
      </c>
      <c r="C72" t="s">
        <v>655</v>
      </c>
      <c r="D72">
        <f>'order form'!$K$12+'order form'!$K$14</f>
        <v>3000</v>
      </c>
      <c r="E72">
        <v>0</v>
      </c>
      <c r="F72">
        <v>0.2</v>
      </c>
      <c r="G72">
        <f>F72</f>
        <v>0.2</v>
      </c>
      <c r="H72" s="314">
        <f>IF(AND('order form'!$J$27,D72&lt;=3500),1,0)</f>
        <v>0</v>
      </c>
      <c r="I72" s="317">
        <f t="shared" si="3"/>
        <v>0</v>
      </c>
      <c r="K72" s="312"/>
      <c r="V72" s="314"/>
    </row>
    <row r="73" spans="1:22" x14ac:dyDescent="0.25">
      <c r="A73" s="312" t="s">
        <v>10</v>
      </c>
      <c r="B73" t="s">
        <v>658</v>
      </c>
      <c r="C73" t="s">
        <v>656</v>
      </c>
      <c r="D73">
        <f>'order form'!$K$12+'order form'!$K$14</f>
        <v>3000</v>
      </c>
      <c r="E73">
        <v>0</v>
      </c>
      <c r="F73">
        <v>0.2</v>
      </c>
      <c r="G73">
        <f>F73</f>
        <v>0.2</v>
      </c>
      <c r="H73" s="314">
        <f>IF(AND('order form'!$J$27,D73&gt;3500),1,0)</f>
        <v>0</v>
      </c>
      <c r="I73" s="317">
        <f t="shared" si="3"/>
        <v>0</v>
      </c>
      <c r="K73" s="312"/>
      <c r="V73" s="314"/>
    </row>
    <row r="74" spans="1:22" x14ac:dyDescent="0.25">
      <c r="A74" s="309" t="s">
        <v>11</v>
      </c>
      <c r="B74" s="310" t="s">
        <v>52</v>
      </c>
      <c r="C74" s="310" t="str">
        <f>VLOOKUP('order form'!$D$27,plexi!$A:$E,5,0)</f>
        <v>PL-QUINNSAN-20</v>
      </c>
      <c r="D74" s="310">
        <f>'order form'!$D$87</f>
        <v>929</v>
      </c>
      <c r="E74" s="310">
        <f>'order form'!$E$87</f>
        <v>370</v>
      </c>
      <c r="F74" s="310">
        <f>'order form'!$K$18*'order form'!$D$25</f>
        <v>3</v>
      </c>
      <c r="G74" s="310">
        <f>D74/1000*E74/1000*F74</f>
        <v>1.0311900000000001</v>
      </c>
      <c r="H74" s="311">
        <f>IF(OR(C74="OTHER",'order form'!$J$29=0,'order form'!$J$41),0,1)</f>
        <v>0</v>
      </c>
      <c r="I74" s="316">
        <f t="shared" si="0"/>
        <v>0</v>
      </c>
      <c r="K74" s="309"/>
      <c r="L74" s="310"/>
      <c r="M74" s="310"/>
      <c r="N74" s="310"/>
      <c r="O74" s="310">
        <f>IF(H74,F74,0)</f>
        <v>0</v>
      </c>
      <c r="P74" s="310"/>
      <c r="Q74" s="310"/>
      <c r="R74" s="310"/>
      <c r="S74" s="310"/>
      <c r="T74" s="310"/>
      <c r="U74" s="310">
        <f>IF(H74,F74/'order form'!$D$25,0)</f>
        <v>0</v>
      </c>
      <c r="V74" s="311">
        <f>IF(SUM(H74:H95),1,0)</f>
        <v>0</v>
      </c>
    </row>
    <row r="75" spans="1:22" x14ac:dyDescent="0.25">
      <c r="A75" s="312" t="s">
        <v>11</v>
      </c>
      <c r="B75" t="s">
        <v>531</v>
      </c>
      <c r="C75" t="str">
        <f>IF('order form'!$J$41,SUBSTITUTE(VLOOKUP('order form'!$D$31,lath!$A:$C,3,0),"E","D"),VLOOKUP('order form'!$D$31,lath!$A:$C,3,0))</f>
        <v>APE1000</v>
      </c>
      <c r="D75" s="313">
        <f>'order form'!$D$87+10</f>
        <v>939</v>
      </c>
      <c r="E75">
        <v>0</v>
      </c>
      <c r="F75">
        <f>'order form'!$K$18*2</f>
        <v>6</v>
      </c>
      <c r="G75">
        <f>D75*F75/1000</f>
        <v>5.6340000000000003</v>
      </c>
      <c r="H75" s="314">
        <f>IF('order form'!$J$29=0,0,1)</f>
        <v>0</v>
      </c>
      <c r="I75" s="317">
        <f t="shared" ref="I75:I99" si="4">IF(H75,G75,0)</f>
        <v>0</v>
      </c>
      <c r="K75" s="312"/>
      <c r="P75">
        <f>IF(H75,F75,0)</f>
        <v>0</v>
      </c>
      <c r="V75" s="314"/>
    </row>
    <row r="76" spans="1:22" x14ac:dyDescent="0.25">
      <c r="A76" s="312" t="s">
        <v>11</v>
      </c>
      <c r="B76" t="s">
        <v>532</v>
      </c>
      <c r="C76" t="str">
        <f>C75</f>
        <v>APE1000</v>
      </c>
      <c r="D76">
        <v>0</v>
      </c>
      <c r="E76">
        <f>'order form'!$E$106-49</f>
        <v>331</v>
      </c>
      <c r="F76">
        <f>'order form'!$K$18*2</f>
        <v>6</v>
      </c>
      <c r="G76">
        <f>E76*F76/1000</f>
        <v>1.986</v>
      </c>
      <c r="H76" s="314">
        <f>IF('order form'!$J$29=0,0,1)</f>
        <v>0</v>
      </c>
      <c r="I76" s="317">
        <f t="shared" si="4"/>
        <v>0</v>
      </c>
      <c r="K76" s="312"/>
      <c r="P76">
        <f>IF(H76,F76,0)</f>
        <v>0</v>
      </c>
      <c r="V76" s="314"/>
    </row>
    <row r="77" spans="1:22" x14ac:dyDescent="0.25">
      <c r="A77" s="312" t="s">
        <v>11</v>
      </c>
      <c r="B77" t="s">
        <v>533</v>
      </c>
      <c r="C77" t="str">
        <f>IF('order form'!$J$41,"ARD",VLOOKUP('order form'!$D$25,glassing!$A:$C,3,0))</f>
        <v>ARE</v>
      </c>
      <c r="D77">
        <f>'order form'!$D$87</f>
        <v>929</v>
      </c>
      <c r="E77">
        <v>0</v>
      </c>
      <c r="F77">
        <f>'order form'!$K$18*2</f>
        <v>6</v>
      </c>
      <c r="G77">
        <f>D77*F77/1000</f>
        <v>5.5739999999999998</v>
      </c>
      <c r="H77" s="314">
        <f>IF('order form'!$J$29=0,0,1)</f>
        <v>0</v>
      </c>
      <c r="I77" s="317">
        <f t="shared" si="4"/>
        <v>0</v>
      </c>
      <c r="K77" s="312"/>
      <c r="V77" s="314"/>
    </row>
    <row r="78" spans="1:22" x14ac:dyDescent="0.25">
      <c r="A78" s="312" t="s">
        <v>11</v>
      </c>
      <c r="B78" t="s">
        <v>534</v>
      </c>
      <c r="C78" t="str">
        <f>C77</f>
        <v>ARE</v>
      </c>
      <c r="D78">
        <v>0</v>
      </c>
      <c r="E78">
        <f>'order form'!$E$87</f>
        <v>370</v>
      </c>
      <c r="F78">
        <f>'order form'!$K$18*2</f>
        <v>6</v>
      </c>
      <c r="G78">
        <f>E78*F78/1000</f>
        <v>2.2200000000000002</v>
      </c>
      <c r="H78" s="314">
        <f>IF('order form'!$J$29=0,0,1)</f>
        <v>0</v>
      </c>
      <c r="I78" s="317">
        <f t="shared" si="4"/>
        <v>0</v>
      </c>
      <c r="K78" s="312"/>
      <c r="V78" s="314"/>
    </row>
    <row r="79" spans="1:22" x14ac:dyDescent="0.25">
      <c r="A79" s="312" t="s">
        <v>11</v>
      </c>
      <c r="B79" t="s">
        <v>535</v>
      </c>
      <c r="C79" t="str">
        <f>"ADH"&amp;INDEX(IF('order form'!Q38,plexi!$G$2:$G$6,plexi!$F$2:$F$6),'order form'!$D$27)</f>
        <v>ADH-IT-16-B</v>
      </c>
      <c r="D79">
        <f>'order form'!$D$87-26</f>
        <v>903</v>
      </c>
      <c r="E79">
        <v>0</v>
      </c>
      <c r="F79">
        <f>'order form'!$K$18*2</f>
        <v>6</v>
      </c>
      <c r="G79">
        <f>D79*F79/1000</f>
        <v>5.4180000000000001</v>
      </c>
      <c r="H79" s="314">
        <f>IF(OR('order form'!$J$29=0,'order form'!$D$25=1,$C74="OTHER",'order form'!$J$41),0,1)</f>
        <v>0</v>
      </c>
      <c r="I79" s="317">
        <f t="shared" si="4"/>
        <v>0</v>
      </c>
      <c r="K79" s="312"/>
      <c r="Q79">
        <f>IF(AND(H79,'order form'!$Q$38=FALSE),F79,0)</f>
        <v>0</v>
      </c>
      <c r="V79" s="314"/>
    </row>
    <row r="80" spans="1:22" x14ac:dyDescent="0.25">
      <c r="A80" s="312" t="s">
        <v>11</v>
      </c>
      <c r="B80" t="s">
        <v>536</v>
      </c>
      <c r="C80" t="str">
        <f>C79</f>
        <v>ADH-IT-16-B</v>
      </c>
      <c r="D80">
        <v>0</v>
      </c>
      <c r="E80">
        <f>'order form'!$E$87-26</f>
        <v>344</v>
      </c>
      <c r="F80">
        <f>'order form'!$K$18*2</f>
        <v>6</v>
      </c>
      <c r="G80">
        <f>E80*F80/1000</f>
        <v>2.0640000000000001</v>
      </c>
      <c r="H80" s="314">
        <f>IF(OR('order form'!$J$29=0,'order form'!$D$25=1,$C74="OTHER",'order form'!$J$41),0,1)</f>
        <v>0</v>
      </c>
      <c r="I80" s="317">
        <f t="shared" si="4"/>
        <v>0</v>
      </c>
      <c r="K80" s="312"/>
      <c r="Q80">
        <f>IF(AND(H80,'order form'!$Q$38=FALSE),F80,0)</f>
        <v>0</v>
      </c>
      <c r="V80" s="314"/>
    </row>
    <row r="81" spans="1:22" x14ac:dyDescent="0.25">
      <c r="A81" s="312" t="s">
        <v>11</v>
      </c>
      <c r="B81" t="s">
        <v>537</v>
      </c>
      <c r="C81" t="s">
        <v>65</v>
      </c>
      <c r="D81">
        <f>'order form'!$D$87-18</f>
        <v>911</v>
      </c>
      <c r="E81">
        <v>0</v>
      </c>
      <c r="F81">
        <f>'order form'!$K$18*4</f>
        <v>12</v>
      </c>
      <c r="G81">
        <f>D81*F81/1000</f>
        <v>10.932</v>
      </c>
      <c r="H81" s="314">
        <f>IF(AND('order form'!$J$29&gt;0,OR(AND('order form'!$D$25=2,$C74&lt;&gt;"OTHER",'order form'!$Q$38=FALSE),'order form'!$J$41)),1,0)</f>
        <v>0</v>
      </c>
      <c r="I81" s="317">
        <f t="shared" si="4"/>
        <v>0</v>
      </c>
      <c r="K81" s="312"/>
      <c r="V81" s="314"/>
    </row>
    <row r="82" spans="1:22" x14ac:dyDescent="0.25">
      <c r="A82" s="312" t="s">
        <v>11</v>
      </c>
      <c r="B82" t="s">
        <v>538</v>
      </c>
      <c r="C82" t="str">
        <f>C81</f>
        <v>ABUT</v>
      </c>
      <c r="D82">
        <v>0</v>
      </c>
      <c r="E82" s="322">
        <f>'order form'!$E$87-18</f>
        <v>352</v>
      </c>
      <c r="F82">
        <f>'order form'!$K$18*4</f>
        <v>12</v>
      </c>
      <c r="G82">
        <f>E82*F82/1000</f>
        <v>4.2240000000000002</v>
      </c>
      <c r="H82" s="314">
        <f>IF(AND('order form'!$J$29&gt;0,OR(AND('order form'!$D$25=2,$C74&lt;&gt;"OTHER",'order form'!$Q$38=FALSE),'order form'!$J$41)),1,0)</f>
        <v>0</v>
      </c>
      <c r="I82" s="317">
        <f t="shared" si="4"/>
        <v>0</v>
      </c>
      <c r="K82" s="312"/>
      <c r="V82" s="314"/>
    </row>
    <row r="83" spans="1:22" x14ac:dyDescent="0.25">
      <c r="A83" s="312" t="s">
        <v>11</v>
      </c>
      <c r="B83" t="s">
        <v>540</v>
      </c>
      <c r="C83" t="str">
        <f>"ADH-COR"&amp;INDEX(plexi!$F$2:$F$6,'order form'!$D$27)</f>
        <v>ADH-COR155</v>
      </c>
      <c r="D83">
        <v>0</v>
      </c>
      <c r="E83">
        <v>0</v>
      </c>
      <c r="F83">
        <f>'order form'!$K$18*4</f>
        <v>12</v>
      </c>
      <c r="G83">
        <f>F83</f>
        <v>12</v>
      </c>
      <c r="H83" s="314">
        <f>IF(OR('order form'!$J$29=0,'order form'!$D$25=1,$C74="OTHER",'order form'!$J$41,'order form'!$Q$38=TRUE),0,1)</f>
        <v>0</v>
      </c>
      <c r="I83" s="317">
        <f t="shared" si="4"/>
        <v>0</v>
      </c>
      <c r="K83" s="312"/>
      <c r="R83">
        <f>IF(H83,F83/4,0)</f>
        <v>0</v>
      </c>
      <c r="V83" s="314"/>
    </row>
    <row r="84" spans="1:22" x14ac:dyDescent="0.25">
      <c r="A84" s="312" t="s">
        <v>11</v>
      </c>
      <c r="B84" t="s">
        <v>541</v>
      </c>
      <c r="C84" t="s">
        <v>66</v>
      </c>
      <c r="D84">
        <f>'order form'!$D$87</f>
        <v>929</v>
      </c>
      <c r="E84">
        <f>'order form'!$E$87</f>
        <v>370</v>
      </c>
      <c r="F84">
        <f>2*'order form'!$K$18</f>
        <v>6</v>
      </c>
      <c r="G84">
        <f>(D84+E84)*F84/18000/IF(AND('order form'!Q38,H74),2,1)</f>
        <v>0.433</v>
      </c>
      <c r="H84" s="314">
        <f>IF(AND('order form'!$J$29&gt;0,OR(AND('order form'!$D$25=2,$C74&lt;&gt;"OTHER"),'order form'!$J$41)),1,0)</f>
        <v>0</v>
      </c>
      <c r="I84" s="317">
        <f t="shared" si="4"/>
        <v>0</v>
      </c>
      <c r="K84" s="312"/>
      <c r="S84">
        <f>IF(H84,F84/2,0)</f>
        <v>0</v>
      </c>
      <c r="V84" s="314"/>
    </row>
    <row r="85" spans="1:22" x14ac:dyDescent="0.25">
      <c r="A85" s="312" t="s">
        <v>11</v>
      </c>
      <c r="B85" t="s">
        <v>246</v>
      </c>
      <c r="C85" t="s">
        <v>243</v>
      </c>
      <c r="D85">
        <f>'order form'!$D$87</f>
        <v>929</v>
      </c>
      <c r="E85">
        <f>'order form'!$E$87</f>
        <v>370</v>
      </c>
      <c r="F85">
        <f>'order form'!$K$18*2</f>
        <v>6</v>
      </c>
      <c r="G85">
        <f>D85/1000*E85/1000*F85</f>
        <v>2.0623800000000001</v>
      </c>
      <c r="H85" s="314">
        <f>IF(AND('order form'!$J$41,'order form'!$D$38=1,'order form'!$J$29&gt;0),1,0)</f>
        <v>0</v>
      </c>
      <c r="I85" s="317">
        <f t="shared" si="4"/>
        <v>0</v>
      </c>
      <c r="K85" s="312"/>
      <c r="O85">
        <f>IF(H85,F85,0)</f>
        <v>0</v>
      </c>
      <c r="V85" s="314"/>
    </row>
    <row r="86" spans="1:22" x14ac:dyDescent="0.25">
      <c r="A86" s="312" t="s">
        <v>11</v>
      </c>
      <c r="B86" t="s">
        <v>248</v>
      </c>
      <c r="C86" t="s">
        <v>245</v>
      </c>
      <c r="D86">
        <f>'order form'!$D$87</f>
        <v>929</v>
      </c>
      <c r="E86">
        <f>'order form'!$E$87</f>
        <v>370</v>
      </c>
      <c r="F86">
        <f>'order form'!$K$18</f>
        <v>3</v>
      </c>
      <c r="G86">
        <f>D86/1000*E86/1000*F86</f>
        <v>1.0311900000000001</v>
      </c>
      <c r="H86" s="314">
        <f>IF(AND('order form'!$J$41,'order form'!$J$29&gt;0),1,0)</f>
        <v>0</v>
      </c>
      <c r="I86" s="317">
        <f t="shared" si="4"/>
        <v>0</v>
      </c>
      <c r="K86" s="312"/>
      <c r="O86">
        <f>IF(H86,F86,0)</f>
        <v>0</v>
      </c>
      <c r="U86">
        <f>IF(H86,F86,0)</f>
        <v>0</v>
      </c>
      <c r="V86" s="314"/>
    </row>
    <row r="87" spans="1:22" x14ac:dyDescent="0.25">
      <c r="A87" s="312" t="s">
        <v>11</v>
      </c>
      <c r="B87" t="s">
        <v>58</v>
      </c>
      <c r="C87" t="s">
        <v>67</v>
      </c>
      <c r="D87">
        <f>'order form'!$K$12+'order form'!$K$14+100</f>
        <v>3100</v>
      </c>
      <c r="E87">
        <v>0</v>
      </c>
      <c r="F87">
        <v>1</v>
      </c>
      <c r="G87">
        <f>D87/1000*F87</f>
        <v>3.1</v>
      </c>
      <c r="H87" s="314">
        <f>IF(AND('order form'!$J$29&gt;0,VLOOKUP('order form'!$D$14,paneltypes!$A:$R,17,0)),1,0)</f>
        <v>0</v>
      </c>
      <c r="I87" s="317">
        <f t="shared" si="4"/>
        <v>0</v>
      </c>
      <c r="K87" s="312"/>
      <c r="T87">
        <f>IF(H87,F87,0)</f>
        <v>0</v>
      </c>
      <c r="V87" s="314"/>
    </row>
    <row r="88" spans="1:22" x14ac:dyDescent="0.25">
      <c r="A88" s="312" t="s">
        <v>11</v>
      </c>
      <c r="B88" t="s">
        <v>59</v>
      </c>
      <c r="C88" t="str">
        <f>CONCATENATE('order form'!$D$104,1000)</f>
        <v>A4T1000</v>
      </c>
      <c r="D88">
        <f>'order form'!$E$104</f>
        <v>3000</v>
      </c>
      <c r="E88">
        <v>0</v>
      </c>
      <c r="F88">
        <v>1</v>
      </c>
      <c r="G88">
        <f>D88/1000*F88</f>
        <v>3</v>
      </c>
      <c r="H88" s="314">
        <f>IF('order form'!$J$29=0,0,1)</f>
        <v>0</v>
      </c>
      <c r="I88" s="317">
        <f t="shared" si="4"/>
        <v>0</v>
      </c>
      <c r="K88" s="312">
        <f>IF(H88,F88,0)</f>
        <v>0</v>
      </c>
      <c r="V88" s="314"/>
    </row>
    <row r="89" spans="1:22" x14ac:dyDescent="0.25">
      <c r="A89" s="312" t="s">
        <v>11</v>
      </c>
      <c r="B89" t="s">
        <v>60</v>
      </c>
      <c r="C89" t="str">
        <f>CONCATENATE('order form'!$D$106,1000)</f>
        <v>A1E1000</v>
      </c>
      <c r="D89">
        <v>0</v>
      </c>
      <c r="E89">
        <f>'order form'!$E$106</f>
        <v>380</v>
      </c>
      <c r="F89">
        <v>2</v>
      </c>
      <c r="G89">
        <f>E89*F89/1000</f>
        <v>0.76</v>
      </c>
      <c r="H89" s="314">
        <f>IF('order form'!$J$29=0,0,1)</f>
        <v>0</v>
      </c>
      <c r="I89" s="317">
        <f t="shared" si="4"/>
        <v>0</v>
      </c>
      <c r="K89" s="312"/>
      <c r="L89">
        <f>IF(H89,F89*4,0)</f>
        <v>0</v>
      </c>
      <c r="M89">
        <f>IF(H89,F89,0)</f>
        <v>0</v>
      </c>
      <c r="N89">
        <f>IF(H89,F89*4,0)</f>
        <v>0</v>
      </c>
      <c r="V89" s="314"/>
    </row>
    <row r="90" spans="1:22" x14ac:dyDescent="0.25">
      <c r="A90" s="312" t="s">
        <v>11</v>
      </c>
      <c r="B90" t="s">
        <v>61</v>
      </c>
      <c r="C90" t="str">
        <f>CONCATENATE('order form'!$D$107,1000)</f>
        <v>A2M1000</v>
      </c>
      <c r="D90">
        <v>0</v>
      </c>
      <c r="E90">
        <f>'order form'!$E$107</f>
        <v>380</v>
      </c>
      <c r="F90">
        <f>'order form'!$K$18-1</f>
        <v>2</v>
      </c>
      <c r="G90">
        <f>E90*F90/1000</f>
        <v>0.76</v>
      </c>
      <c r="H90" s="314">
        <f>IF('order form'!$J$29=0,0,1)</f>
        <v>0</v>
      </c>
      <c r="I90" s="317">
        <f t="shared" si="4"/>
        <v>0</v>
      </c>
      <c r="K90" s="312"/>
      <c r="L90">
        <f>IF(H90,F90*2,0)</f>
        <v>0</v>
      </c>
      <c r="M90">
        <f>IF(H90,F90,0)</f>
        <v>0</v>
      </c>
      <c r="N90">
        <f>IF(H90,F90*2,0)</f>
        <v>0</v>
      </c>
      <c r="V90" s="314"/>
    </row>
    <row r="91" spans="1:22" x14ac:dyDescent="0.25">
      <c r="A91" s="312" t="s">
        <v>11</v>
      </c>
      <c r="B91" t="s">
        <v>62</v>
      </c>
      <c r="C91" t="str">
        <f>CONCATENATE('order form'!$D$108,1000)</f>
        <v>A1E1000</v>
      </c>
      <c r="D91">
        <f>'order form'!$E$108</f>
        <v>3000</v>
      </c>
      <c r="E91">
        <v>0</v>
      </c>
      <c r="F91">
        <v>1</v>
      </c>
      <c r="G91">
        <f>D91/1000*F91</f>
        <v>3</v>
      </c>
      <c r="H91" s="314">
        <f>IF('order form'!$J$29=0,0,1)</f>
        <v>0</v>
      </c>
      <c r="I91" s="317">
        <f t="shared" si="4"/>
        <v>0</v>
      </c>
      <c r="K91" s="312">
        <f>IF(H91,F91,0)</f>
        <v>0</v>
      </c>
      <c r="V91" s="314"/>
    </row>
    <row r="92" spans="1:22" x14ac:dyDescent="0.25">
      <c r="A92" s="312" t="s">
        <v>11</v>
      </c>
      <c r="B92" t="s">
        <v>257</v>
      </c>
      <c r="C92" t="str">
        <f>CONCATENATE('order form'!$D105,IF(paneltypes!$C$13,1000,""))</f>
        <v xml:space="preserve"> - </v>
      </c>
      <c r="D92">
        <f>IF(ISERROR(VALUE('order form'!$E$105)),0,'order form'!$E$105)</f>
        <v>0</v>
      </c>
      <c r="E92">
        <v>0</v>
      </c>
      <c r="F92">
        <v>1</v>
      </c>
      <c r="G92">
        <f>D92/1000*F92</f>
        <v>0</v>
      </c>
      <c r="H92" s="314">
        <f>IF(AND('order form'!$J$29,D92),1,0)</f>
        <v>0</v>
      </c>
      <c r="I92" s="317">
        <f t="shared" si="4"/>
        <v>0</v>
      </c>
      <c r="K92" s="312">
        <f>IF(H92,F92,0)</f>
        <v>0</v>
      </c>
      <c r="V92" s="314"/>
    </row>
    <row r="93" spans="1:22" x14ac:dyDescent="0.25">
      <c r="A93" s="312" t="s">
        <v>11</v>
      </c>
      <c r="B93" t="s">
        <v>68</v>
      </c>
      <c r="C93" t="s">
        <v>69</v>
      </c>
      <c r="D93">
        <v>0</v>
      </c>
      <c r="E93">
        <v>0</v>
      </c>
      <c r="F93">
        <f>F89*4+F90*2</f>
        <v>12</v>
      </c>
      <c r="G93">
        <f>F93</f>
        <v>12</v>
      </c>
      <c r="H93" s="314">
        <f>IF('order form'!$J$29=0,0,1)</f>
        <v>0</v>
      </c>
      <c r="I93" s="317">
        <f t="shared" si="4"/>
        <v>0</v>
      </c>
      <c r="K93" s="312"/>
      <c r="V93" s="314"/>
    </row>
    <row r="94" spans="1:22" x14ac:dyDescent="0.25">
      <c r="A94" s="312" t="s">
        <v>11</v>
      </c>
      <c r="B94" t="s">
        <v>499</v>
      </c>
      <c r="C94" t="s">
        <v>498</v>
      </c>
      <c r="D94">
        <f>'order form'!$K$12+'order form'!$K$14</f>
        <v>3000</v>
      </c>
      <c r="E94">
        <f>'order form'!$K$29</f>
        <v>500</v>
      </c>
      <c r="F94" t="e">
        <f>ROUNDUP(('order form'!$J$25+'order form'!$J$27+'order form'!$J$29)*'order form'!$K$10/8,0)*2/6/(('order form'!$J$25+'order form'!$J$27+'order form'!$J$29)*'order form'!$K$10)</f>
        <v>#DIV/0!</v>
      </c>
      <c r="G94" t="e">
        <f>D94/1000*E94/1000*F94</f>
        <v>#DIV/0!</v>
      </c>
      <c r="H94" s="314">
        <f>IF('order form'!$J$29&gt;0,1,0)</f>
        <v>0</v>
      </c>
      <c r="I94" s="317">
        <f t="shared" si="4"/>
        <v>0</v>
      </c>
      <c r="K94" s="312"/>
      <c r="V94" s="314"/>
    </row>
    <row r="95" spans="1:22" x14ac:dyDescent="0.25">
      <c r="A95" s="312" t="s">
        <v>11</v>
      </c>
      <c r="B95" t="s">
        <v>522</v>
      </c>
      <c r="C95" t="s">
        <v>523</v>
      </c>
      <c r="D95">
        <f>'order form'!$K$12+'order form'!$K$14</f>
        <v>3000</v>
      </c>
      <c r="E95">
        <f>'order form'!$K$29</f>
        <v>500</v>
      </c>
      <c r="F95">
        <f>2/2000</f>
        <v>1E-3</v>
      </c>
      <c r="G95">
        <f>(D95+E95)*F95</f>
        <v>3.5</v>
      </c>
      <c r="H95" s="314">
        <f>IF('order form'!$J$29,1,0)</f>
        <v>0</v>
      </c>
      <c r="I95" s="317">
        <f t="shared" si="4"/>
        <v>0</v>
      </c>
      <c r="K95" s="312"/>
      <c r="V95" s="314"/>
    </row>
    <row r="96" spans="1:22" x14ac:dyDescent="0.25">
      <c r="A96" s="312" t="s">
        <v>11</v>
      </c>
      <c r="B96" t="s">
        <v>651</v>
      </c>
      <c r="C96" t="s">
        <v>652</v>
      </c>
      <c r="D96">
        <f>'order form'!$K$12+'order form'!$K$14</f>
        <v>3000</v>
      </c>
      <c r="E96">
        <v>0</v>
      </c>
      <c r="F96" t="e">
        <f>IF(D96&gt;3500,4,3)*3*ROUNDUP(('order form'!$J$25+'order form'!$J$27+'order form'!$J$29)*'order form'!$K$10/8,0)/(('order form'!$J$25+'order form'!$J$27+'order form'!$J$29)*'order form'!$K$10)</f>
        <v>#DIV/0!</v>
      </c>
      <c r="G96" t="e">
        <f>F96</f>
        <v>#DIV/0!</v>
      </c>
      <c r="H96" s="314">
        <f>IF('order form'!$J$29,1,0)</f>
        <v>0</v>
      </c>
      <c r="I96" s="317">
        <f t="shared" si="4"/>
        <v>0</v>
      </c>
      <c r="K96" s="312"/>
      <c r="V96" s="314"/>
    </row>
    <row r="97" spans="1:9" x14ac:dyDescent="0.25">
      <c r="A97" s="312" t="s">
        <v>11</v>
      </c>
      <c r="B97" t="s">
        <v>654</v>
      </c>
      <c r="C97" t="s">
        <v>653</v>
      </c>
      <c r="D97" t="e">
        <f>(('order form'!$J$25+'order form'!$J$27+'order form'!$J$29)*'order form'!$K$10)/ROUNDUP(('order form'!$J$25+'order form'!$J$27+'order form'!$J$29)*'order form'!$K$10/8,0)*40+2*3.2</f>
        <v>#DIV/0!</v>
      </c>
      <c r="E97">
        <f>'order form'!$K$29</f>
        <v>500</v>
      </c>
      <c r="F97" t="e">
        <f>2*ROUNDUP(('order form'!$J$25+'order form'!$J$27+'order form'!$J$29)*'order form'!$K$10/8,0)/(('order form'!$J$25+'order form'!$J$27+'order form'!$J$29)*'order form'!$K$10)</f>
        <v>#DIV/0!</v>
      </c>
      <c r="G97" t="e">
        <f>(2*(D97+E97)+200)*F97/1000</f>
        <v>#DIV/0!</v>
      </c>
      <c r="H97" s="314">
        <f>IF('order form'!$J$29,1,0)</f>
        <v>0</v>
      </c>
      <c r="I97" s="317">
        <f t="shared" si="4"/>
        <v>0</v>
      </c>
    </row>
    <row r="98" spans="1:9" x14ac:dyDescent="0.25">
      <c r="A98" s="312" t="s">
        <v>11</v>
      </c>
      <c r="B98" t="s">
        <v>657</v>
      </c>
      <c r="C98" t="s">
        <v>655</v>
      </c>
      <c r="D98">
        <f>'order form'!$K$12+'order form'!$K$14</f>
        <v>3000</v>
      </c>
      <c r="E98">
        <v>0</v>
      </c>
      <c r="F98">
        <v>0.2</v>
      </c>
      <c r="G98">
        <f>F98</f>
        <v>0.2</v>
      </c>
      <c r="H98" s="314">
        <f>IF(AND('order form'!$J$29,D98&lt;=3500),1,0)</f>
        <v>0</v>
      </c>
      <c r="I98" s="317">
        <f t="shared" si="4"/>
        <v>0</v>
      </c>
    </row>
    <row r="99" spans="1:9" x14ac:dyDescent="0.25">
      <c r="A99" s="312" t="s">
        <v>11</v>
      </c>
      <c r="B99" t="s">
        <v>658</v>
      </c>
      <c r="C99" t="s">
        <v>656</v>
      </c>
      <c r="D99">
        <f>'order form'!$K$12+'order form'!$K$14</f>
        <v>3000</v>
      </c>
      <c r="E99">
        <v>0</v>
      </c>
      <c r="F99">
        <v>0.2</v>
      </c>
      <c r="G99">
        <f>F99</f>
        <v>0.2</v>
      </c>
      <c r="H99" s="314">
        <f>IF(AND('order form'!$J$29,D99&gt;3500),1,0)</f>
        <v>0</v>
      </c>
      <c r="I99" s="317">
        <f t="shared" si="4"/>
        <v>0</v>
      </c>
    </row>
  </sheetData>
  <sheetProtection algorithmName="SHA-512" hashValue="7u6mMHxDEXsv4PPja6ZsPQRDp2Y58n3xQaG92bnK4Z1PS+Tlp3d1S04WoWuFJb7yUrBQ2P/V/JgiK1hIjVOKIA==" saltValue="GWU0XcIj3jpPqtyxKvjv3w==" spinCount="100000"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
  <dimension ref="A1:E115"/>
  <sheetViews>
    <sheetView workbookViewId="0">
      <selection activeCell="A13" sqref="A13"/>
    </sheetView>
  </sheetViews>
  <sheetFormatPr defaultRowHeight="15" x14ac:dyDescent="0.25"/>
  <cols>
    <col min="2" max="2" width="50" customWidth="1"/>
    <col min="3" max="3" width="55" customWidth="1"/>
    <col min="4" max="4" width="48.28515625" customWidth="1"/>
    <col min="5" max="5" width="46.28515625" customWidth="1"/>
  </cols>
  <sheetData>
    <row r="1" spans="1:5" x14ac:dyDescent="0.25">
      <c r="A1" t="s">
        <v>323</v>
      </c>
    </row>
    <row r="2" spans="1:5" x14ac:dyDescent="0.25">
      <c r="A2" t="s">
        <v>324</v>
      </c>
      <c r="B2" s="261"/>
    </row>
    <row r="3" spans="1:5" x14ac:dyDescent="0.25">
      <c r="A3" t="s">
        <v>325</v>
      </c>
    </row>
    <row r="7" spans="1:5" x14ac:dyDescent="0.25">
      <c r="B7" t="s">
        <v>518</v>
      </c>
      <c r="C7" t="str">
        <f>$A$1</f>
        <v>English</v>
      </c>
      <c r="D7" t="str">
        <f>$A$2</f>
        <v>Français</v>
      </c>
      <c r="E7" t="str">
        <f>$A$3</f>
        <v>magyar</v>
      </c>
    </row>
    <row r="8" spans="1:5" x14ac:dyDescent="0.25">
      <c r="B8" s="261">
        <v>1</v>
      </c>
      <c r="C8">
        <v>1</v>
      </c>
      <c r="D8">
        <v>2</v>
      </c>
      <c r="E8">
        <v>3</v>
      </c>
    </row>
    <row r="9" spans="1:5" x14ac:dyDescent="0.25">
      <c r="A9">
        <v>1</v>
      </c>
      <c r="B9" t="str">
        <f t="shared" ref="B9:B40" si="0">INDEX($C$9:$J$65536,$A9,B$8)</f>
        <v>English</v>
      </c>
      <c r="C9" t="s">
        <v>323</v>
      </c>
      <c r="D9" t="s">
        <v>324</v>
      </c>
      <c r="E9" t="s">
        <v>325</v>
      </c>
    </row>
    <row r="10" spans="1:5" x14ac:dyDescent="0.25">
      <c r="A10">
        <v>2</v>
      </c>
      <c r="B10" t="str">
        <f t="shared" si="0"/>
        <v>Calculation Form for FULL VISION and ALU sections</v>
      </c>
      <c r="C10" t="s">
        <v>326</v>
      </c>
      <c r="D10" t="s">
        <v>327</v>
      </c>
      <c r="E10" t="s">
        <v>328</v>
      </c>
    </row>
    <row r="11" spans="1:5" x14ac:dyDescent="0.25">
      <c r="A11">
        <v>3</v>
      </c>
      <c r="B11" t="str">
        <f t="shared" si="0"/>
        <v>Please specify your order by filling out the white cells! This workbook requires Excel security settings to allow execution of macro's and VBA code.</v>
      </c>
      <c r="C11" t="s">
        <v>286</v>
      </c>
      <c r="D11" t="s">
        <v>330</v>
      </c>
      <c r="E11" t="s">
        <v>329</v>
      </c>
    </row>
    <row r="12" spans="1:5" x14ac:dyDescent="0.25">
      <c r="A12">
        <v>4</v>
      </c>
      <c r="B12" t="str">
        <f t="shared" si="0"/>
        <v>PROJECT DATA</v>
      </c>
      <c r="C12" t="s">
        <v>134</v>
      </c>
      <c r="D12" t="s">
        <v>331</v>
      </c>
      <c r="E12" t="s">
        <v>332</v>
      </c>
    </row>
    <row r="13" spans="1:5" x14ac:dyDescent="0.25">
      <c r="A13">
        <v>5</v>
      </c>
      <c r="B13" t="str">
        <f t="shared" si="0"/>
        <v>Customer order no.:</v>
      </c>
      <c r="C13" t="s">
        <v>649</v>
      </c>
      <c r="D13" t="s">
        <v>648</v>
      </c>
      <c r="E13" t="s">
        <v>647</v>
      </c>
    </row>
    <row r="14" spans="1:5" x14ac:dyDescent="0.25">
      <c r="A14">
        <v>6</v>
      </c>
      <c r="B14" t="str">
        <f t="shared" si="0"/>
        <v>Customer:</v>
      </c>
      <c r="C14" t="s">
        <v>0</v>
      </c>
      <c r="D14" t="s">
        <v>334</v>
      </c>
      <c r="E14" t="s">
        <v>333</v>
      </c>
    </row>
    <row r="15" spans="1:5" x14ac:dyDescent="0.25">
      <c r="A15">
        <v>7</v>
      </c>
      <c r="B15" t="str">
        <f t="shared" si="0"/>
        <v>Reference:</v>
      </c>
      <c r="C15" t="s">
        <v>1</v>
      </c>
      <c r="D15" t="s">
        <v>335</v>
      </c>
      <c r="E15" t="s">
        <v>336</v>
      </c>
    </row>
    <row r="16" spans="1:5" x14ac:dyDescent="0.25">
      <c r="A16">
        <v>8</v>
      </c>
      <c r="B16" t="str">
        <f t="shared" si="0"/>
        <v>Panel type:</v>
      </c>
      <c r="C16" t="s">
        <v>3</v>
      </c>
      <c r="D16" t="s">
        <v>338</v>
      </c>
      <c r="E16" t="s">
        <v>337</v>
      </c>
    </row>
    <row r="17" spans="1:5" x14ac:dyDescent="0.25">
      <c r="A17">
        <v>9</v>
      </c>
      <c r="B17" t="str">
        <f t="shared" si="0"/>
        <v>Powdercoating:</v>
      </c>
      <c r="C17" t="s">
        <v>4</v>
      </c>
      <c r="D17" t="s">
        <v>339</v>
      </c>
      <c r="E17" t="s">
        <v>340</v>
      </c>
    </row>
    <row r="18" spans="1:5" x14ac:dyDescent="0.25">
      <c r="A18">
        <v>10</v>
      </c>
      <c r="B18" t="str">
        <f t="shared" si="0"/>
        <v>no</v>
      </c>
      <c r="C18" t="s">
        <v>456</v>
      </c>
      <c r="D18" t="s">
        <v>457</v>
      </c>
      <c r="E18" t="s">
        <v>458</v>
      </c>
    </row>
    <row r="19" spans="1:5" x14ac:dyDescent="0.25">
      <c r="A19">
        <v>11</v>
      </c>
      <c r="B19" t="str">
        <f t="shared" si="0"/>
        <v>Only alubond inside</v>
      </c>
      <c r="C19" t="s">
        <v>259</v>
      </c>
      <c r="D19" t="s">
        <v>455</v>
      </c>
      <c r="E19" t="s">
        <v>341</v>
      </c>
    </row>
    <row r="20" spans="1:5" x14ac:dyDescent="0.25">
      <c r="A20">
        <v>12</v>
      </c>
      <c r="B20" t="str">
        <f t="shared" si="0"/>
        <v>yes</v>
      </c>
      <c r="C20" t="s">
        <v>497</v>
      </c>
      <c r="D20" t="s">
        <v>500</v>
      </c>
      <c r="E20" t="s">
        <v>501</v>
      </c>
    </row>
    <row r="21" spans="1:5" x14ac:dyDescent="0.25">
      <c r="A21">
        <v>13</v>
      </c>
      <c r="B21" t="str">
        <f t="shared" si="0"/>
        <v>Delivery:</v>
      </c>
      <c r="C21" t="s">
        <v>252</v>
      </c>
      <c r="D21" t="s">
        <v>343</v>
      </c>
      <c r="E21" t="s">
        <v>342</v>
      </c>
    </row>
    <row r="22" spans="1:5" x14ac:dyDescent="0.25">
      <c r="A22">
        <v>14</v>
      </c>
      <c r="B22" t="str">
        <f t="shared" si="0"/>
        <v>Date of Delivery:</v>
      </c>
      <c r="C22" t="s">
        <v>223</v>
      </c>
      <c r="D22" t="s">
        <v>344</v>
      </c>
      <c r="E22" t="s">
        <v>345</v>
      </c>
    </row>
    <row r="23" spans="1:5" x14ac:dyDescent="0.25">
      <c r="A23">
        <v>15</v>
      </c>
      <c r="B23" t="str">
        <f t="shared" si="0"/>
        <v>Number of Doors:</v>
      </c>
      <c r="C23" t="s">
        <v>2</v>
      </c>
      <c r="D23" t="s">
        <v>347</v>
      </c>
      <c r="E23" t="s">
        <v>346</v>
      </c>
    </row>
    <row r="24" spans="1:5" x14ac:dyDescent="0.25">
      <c r="A24">
        <v>16</v>
      </c>
      <c r="B24" t="str">
        <f t="shared" si="0"/>
        <v>Daylight Width (mm):</v>
      </c>
      <c r="C24" t="s">
        <v>30</v>
      </c>
      <c r="D24" t="s">
        <v>348</v>
      </c>
      <c r="E24" t="s">
        <v>349</v>
      </c>
    </row>
    <row r="25" spans="1:5" x14ac:dyDescent="0.25">
      <c r="A25">
        <v>17</v>
      </c>
      <c r="B25" t="str">
        <f t="shared" si="0"/>
        <v>Overlap (mm):</v>
      </c>
      <c r="C25" t="s">
        <v>31</v>
      </c>
      <c r="D25" t="s">
        <v>351</v>
      </c>
      <c r="E25" t="s">
        <v>350</v>
      </c>
    </row>
    <row r="26" spans="1:5" x14ac:dyDescent="0.25">
      <c r="A26">
        <v>18</v>
      </c>
      <c r="B26" t="str">
        <f t="shared" si="0"/>
        <v>Sections Width:</v>
      </c>
      <c r="C26" t="s">
        <v>139</v>
      </c>
      <c r="D26" t="s">
        <v>352</v>
      </c>
      <c r="E26" t="s">
        <v>353</v>
      </c>
    </row>
    <row r="27" spans="1:5" x14ac:dyDescent="0.25">
      <c r="A27">
        <v>19</v>
      </c>
      <c r="B27" t="str">
        <f t="shared" si="0"/>
        <v>Number of Fields:</v>
      </c>
      <c r="C27" t="s">
        <v>6</v>
      </c>
      <c r="D27" t="s">
        <v>354</v>
      </c>
      <c r="E27" t="s">
        <v>355</v>
      </c>
    </row>
    <row r="28" spans="1:5" x14ac:dyDescent="0.25">
      <c r="A28">
        <v>20</v>
      </c>
      <c r="B28" t="str">
        <f t="shared" si="0"/>
        <v>Field Size (mm):</v>
      </c>
      <c r="C28" t="s">
        <v>29</v>
      </c>
      <c r="D28" t="s">
        <v>356</v>
      </c>
      <c r="E28" t="s">
        <v>357</v>
      </c>
    </row>
    <row r="29" spans="1:5" x14ac:dyDescent="0.25">
      <c r="A29">
        <v>21</v>
      </c>
      <c r="B29" t="str">
        <f t="shared" si="0"/>
        <v>GLAZING</v>
      </c>
      <c r="C29" t="s">
        <v>251</v>
      </c>
      <c r="D29" t="s">
        <v>358</v>
      </c>
      <c r="E29" t="s">
        <v>359</v>
      </c>
    </row>
    <row r="30" spans="1:5" x14ac:dyDescent="0.25">
      <c r="A30">
        <v>22</v>
      </c>
      <c r="B30" t="str">
        <f t="shared" si="0"/>
        <v>Glazing:</v>
      </c>
      <c r="C30" t="s">
        <v>253</v>
      </c>
      <c r="D30" t="s">
        <v>360</v>
      </c>
      <c r="E30" t="s">
        <v>258</v>
      </c>
    </row>
    <row r="31" spans="1:5" x14ac:dyDescent="0.25">
      <c r="A31">
        <v>23</v>
      </c>
      <c r="B31" t="str">
        <f t="shared" si="0"/>
        <v>single</v>
      </c>
      <c r="C31" t="s">
        <v>459</v>
      </c>
      <c r="D31" t="s">
        <v>459</v>
      </c>
      <c r="E31" t="s">
        <v>460</v>
      </c>
    </row>
    <row r="32" spans="1:5" x14ac:dyDescent="0.25">
      <c r="A32">
        <v>24</v>
      </c>
      <c r="B32" t="str">
        <f t="shared" si="0"/>
        <v>double</v>
      </c>
      <c r="C32" t="s">
        <v>461</v>
      </c>
      <c r="D32" t="s">
        <v>461</v>
      </c>
      <c r="E32" t="s">
        <v>462</v>
      </c>
    </row>
    <row r="33" spans="1:5" x14ac:dyDescent="0.25">
      <c r="A33">
        <v>25</v>
      </c>
      <c r="B33" t="str">
        <f t="shared" si="0"/>
        <v>Material:</v>
      </c>
      <c r="C33" t="s">
        <v>36</v>
      </c>
      <c r="D33" t="s">
        <v>361</v>
      </c>
      <c r="E33" t="s">
        <v>362</v>
      </c>
    </row>
    <row r="34" spans="1:5" x14ac:dyDescent="0.25">
      <c r="A34">
        <v>26</v>
      </c>
      <c r="B34" t="str">
        <f t="shared" si="0"/>
        <v>Weight of Glass:</v>
      </c>
      <c r="C34" t="s">
        <v>37</v>
      </c>
      <c r="D34" t="s">
        <v>363</v>
      </c>
      <c r="E34" t="s">
        <v>463</v>
      </c>
    </row>
    <row r="35" spans="1:5" x14ac:dyDescent="0.25">
      <c r="A35">
        <v>27</v>
      </c>
      <c r="B35" t="str">
        <f t="shared" si="0"/>
        <v>Glass Lath Mat.:</v>
      </c>
      <c r="C35" t="s">
        <v>234</v>
      </c>
      <c r="D35" t="s">
        <v>365</v>
      </c>
      <c r="E35" t="s">
        <v>364</v>
      </c>
    </row>
    <row r="36" spans="1:5" x14ac:dyDescent="0.25">
      <c r="A36">
        <v>28</v>
      </c>
      <c r="B36" t="str">
        <f t="shared" si="0"/>
        <v>plastic</v>
      </c>
      <c r="C36" t="s">
        <v>464</v>
      </c>
      <c r="D36" t="s">
        <v>464</v>
      </c>
      <c r="E36" t="s">
        <v>465</v>
      </c>
    </row>
    <row r="37" spans="1:5" x14ac:dyDescent="0.25">
      <c r="A37">
        <v>29</v>
      </c>
      <c r="B37" t="str">
        <f t="shared" si="0"/>
        <v>alu</v>
      </c>
      <c r="C37" t="s">
        <v>466</v>
      </c>
      <c r="D37" t="s">
        <v>466</v>
      </c>
      <c r="E37" t="s">
        <v>466</v>
      </c>
    </row>
    <row r="38" spans="1:5" x14ac:dyDescent="0.25">
      <c r="A38">
        <v>30</v>
      </c>
      <c r="B38" t="str">
        <f t="shared" si="0"/>
        <v>SECTIONS</v>
      </c>
      <c r="C38" t="s">
        <v>135</v>
      </c>
      <c r="D38" t="s">
        <v>135</v>
      </c>
      <c r="E38" t="s">
        <v>366</v>
      </c>
    </row>
    <row r="39" spans="1:5" x14ac:dyDescent="0.25">
      <c r="A39">
        <v>31</v>
      </c>
      <c r="B39" t="str">
        <f t="shared" si="0"/>
        <v>Qty per Door</v>
      </c>
      <c r="C39" t="s">
        <v>34</v>
      </c>
      <c r="D39" t="s">
        <v>368</v>
      </c>
      <c r="E39" t="s">
        <v>367</v>
      </c>
    </row>
    <row r="40" spans="1:5" x14ac:dyDescent="0.25">
      <c r="A40">
        <v>32</v>
      </c>
      <c r="B40" t="str">
        <f t="shared" si="0"/>
        <v>Height (mm)</v>
      </c>
      <c r="C40" t="s">
        <v>12</v>
      </c>
      <c r="D40" t="s">
        <v>370</v>
      </c>
      <c r="E40" t="s">
        <v>369</v>
      </c>
    </row>
    <row r="41" spans="1:5" x14ac:dyDescent="0.25">
      <c r="A41">
        <v>33</v>
      </c>
      <c r="B41" t="str">
        <f t="shared" ref="B41:B72" si="1">INDEX($C$9:$J$65536,$A41,B$8)</f>
        <v>Top</v>
      </c>
      <c r="C41" t="s">
        <v>8</v>
      </c>
      <c r="D41" t="s">
        <v>372</v>
      </c>
      <c r="E41" t="s">
        <v>371</v>
      </c>
    </row>
    <row r="42" spans="1:5" x14ac:dyDescent="0.25">
      <c r="A42">
        <v>34</v>
      </c>
      <c r="B42" t="str">
        <f t="shared" si="1"/>
        <v>Intermediate</v>
      </c>
      <c r="C42" t="s">
        <v>10</v>
      </c>
      <c r="D42" t="s">
        <v>373</v>
      </c>
      <c r="E42" t="s">
        <v>374</v>
      </c>
    </row>
    <row r="43" spans="1:5" x14ac:dyDescent="0.25">
      <c r="A43">
        <v>35</v>
      </c>
      <c r="B43" t="str">
        <f t="shared" si="1"/>
        <v>Bottom</v>
      </c>
      <c r="C43" t="s">
        <v>11</v>
      </c>
      <c r="D43" t="s">
        <v>376</v>
      </c>
      <c r="E43" t="s">
        <v>375</v>
      </c>
    </row>
    <row r="44" spans="1:5" x14ac:dyDescent="0.25">
      <c r="A44">
        <v>36</v>
      </c>
      <c r="B44" t="str">
        <f t="shared" si="1"/>
        <v>Total Height (mm):</v>
      </c>
      <c r="C44" t="s">
        <v>133</v>
      </c>
      <c r="D44" t="s">
        <v>378</v>
      </c>
      <c r="E44" t="s">
        <v>377</v>
      </c>
    </row>
    <row r="45" spans="1:5" x14ac:dyDescent="0.25">
      <c r="A45">
        <v>37</v>
      </c>
      <c r="B45" t="str">
        <f t="shared" si="1"/>
        <v>ALUBOND</v>
      </c>
      <c r="C45" t="s">
        <v>486</v>
      </c>
      <c r="D45" t="s">
        <v>486</v>
      </c>
      <c r="E45" t="s">
        <v>486</v>
      </c>
    </row>
    <row r="46" spans="1:5" x14ac:dyDescent="0.25">
      <c r="A46">
        <v>38</v>
      </c>
      <c r="B46" t="str">
        <f t="shared" si="1"/>
        <v>Please indicate below where you need alubond instead of glass.</v>
      </c>
      <c r="C46" t="s">
        <v>236</v>
      </c>
      <c r="D46" t="s">
        <v>380</v>
      </c>
      <c r="E46" t="s">
        <v>379</v>
      </c>
    </row>
    <row r="47" spans="1:5" x14ac:dyDescent="0.25">
      <c r="A47">
        <v>39</v>
      </c>
      <c r="B47" t="str">
        <f t="shared" si="1"/>
        <v>Alubond type:</v>
      </c>
      <c r="C47" t="s">
        <v>235</v>
      </c>
      <c r="D47" t="s">
        <v>381</v>
      </c>
      <c r="E47" t="s">
        <v>382</v>
      </c>
    </row>
    <row r="48" spans="1:5" x14ac:dyDescent="0.25">
      <c r="A48">
        <v>40</v>
      </c>
      <c r="B48" t="str">
        <f t="shared" si="1"/>
        <v>20mm nikecell covered by 0.8mm stucco alu plates on both sides</v>
      </c>
      <c r="C48" t="s">
        <v>468</v>
      </c>
      <c r="D48" t="s">
        <v>467</v>
      </c>
      <c r="E48" t="s">
        <v>383</v>
      </c>
    </row>
    <row r="49" spans="1:5" x14ac:dyDescent="0.25">
      <c r="A49">
        <v>41</v>
      </c>
      <c r="B49" t="str">
        <f t="shared" si="1"/>
        <v>20mm nikecell covered by 0.8mm flat alu plates on both sides</v>
      </c>
      <c r="C49" t="s">
        <v>485</v>
      </c>
      <c r="D49" t="s">
        <v>469</v>
      </c>
      <c r="E49" t="s">
        <v>384</v>
      </c>
    </row>
    <row r="50" spans="1:5" x14ac:dyDescent="0.25">
      <c r="A50">
        <v>42</v>
      </c>
      <c r="B50" t="str">
        <f t="shared" si="1"/>
        <v>20mm nikecell covered by 0.8mm alu plates, stucco inside and flat outside</v>
      </c>
      <c r="C50" t="s">
        <v>254</v>
      </c>
      <c r="D50" t="s">
        <v>470</v>
      </c>
      <c r="E50" t="s">
        <v>385</v>
      </c>
    </row>
    <row r="51" spans="1:5" x14ac:dyDescent="0.25">
      <c r="A51">
        <v>43</v>
      </c>
      <c r="B51" t="str">
        <f t="shared" si="1"/>
        <v>20mm nikecell covered by 0.8mm alu plates, flat inside and stucco outside</v>
      </c>
      <c r="C51" t="s">
        <v>256</v>
      </c>
      <c r="D51" t="s">
        <v>471</v>
      </c>
      <c r="E51" t="s">
        <v>386</v>
      </c>
    </row>
    <row r="52" spans="1:5" x14ac:dyDescent="0.25">
      <c r="A52">
        <v>44</v>
      </c>
      <c r="B52" t="str">
        <f t="shared" si="1"/>
        <v>top section:</v>
      </c>
      <c r="C52" t="s">
        <v>237</v>
      </c>
      <c r="D52" t="s">
        <v>387</v>
      </c>
      <c r="E52" t="s">
        <v>388</v>
      </c>
    </row>
    <row r="53" spans="1:5" x14ac:dyDescent="0.25">
      <c r="A53">
        <v>45</v>
      </c>
      <c r="B53" t="str">
        <f t="shared" si="1"/>
        <v>intermediate sections:</v>
      </c>
      <c r="C53" t="s">
        <v>238</v>
      </c>
      <c r="D53" t="s">
        <v>389</v>
      </c>
      <c r="E53" t="s">
        <v>390</v>
      </c>
    </row>
    <row r="54" spans="1:5" x14ac:dyDescent="0.25">
      <c r="A54">
        <v>46</v>
      </c>
      <c r="B54" t="str">
        <f t="shared" si="1"/>
        <v>bottom section:</v>
      </c>
      <c r="C54" t="s">
        <v>239</v>
      </c>
      <c r="D54" t="s">
        <v>391</v>
      </c>
      <c r="E54" t="s">
        <v>392</v>
      </c>
    </row>
    <row r="55" spans="1:5" x14ac:dyDescent="0.25">
      <c r="A55">
        <v>47</v>
      </c>
      <c r="B55" t="str">
        <f t="shared" si="1"/>
        <v>DOUBLE AND REINFORCED PROFILES</v>
      </c>
      <c r="C55" t="s">
        <v>136</v>
      </c>
      <c r="D55" t="s">
        <v>394</v>
      </c>
      <c r="E55" t="s">
        <v>393</v>
      </c>
    </row>
    <row r="56" spans="1:5" x14ac:dyDescent="0.25">
      <c r="A56">
        <v>48</v>
      </c>
      <c r="B56" t="str">
        <f t="shared" si="1"/>
        <v>Apply recommended settings</v>
      </c>
      <c r="C56" t="s">
        <v>302</v>
      </c>
      <c r="D56" t="s">
        <v>472</v>
      </c>
      <c r="E56" t="s">
        <v>395</v>
      </c>
    </row>
    <row r="57" spans="1:5" x14ac:dyDescent="0.25">
      <c r="A57">
        <v>49</v>
      </c>
      <c r="B57" t="str">
        <f t="shared" si="1"/>
        <v>A1D double side profiles in each section (recommended if section width &gt;= 5000mm)</v>
      </c>
      <c r="C57" t="s">
        <v>313</v>
      </c>
      <c r="D57" t="s">
        <v>473</v>
      </c>
      <c r="E57" t="s">
        <v>396</v>
      </c>
    </row>
    <row r="58" spans="1:5" x14ac:dyDescent="0.25">
      <c r="A58">
        <v>50</v>
      </c>
      <c r="B58" t="str">
        <f t="shared" si="1"/>
        <v>A1D double bottom profile in bottom section (recommended if section width &gt;= 6000mm)</v>
      </c>
      <c r="C58" t="s">
        <v>318</v>
      </c>
      <c r="D58" t="s">
        <v>474</v>
      </c>
      <c r="E58" t="s">
        <v>397</v>
      </c>
    </row>
    <row r="59" spans="1:5" x14ac:dyDescent="0.25">
      <c r="A59">
        <v>51</v>
      </c>
      <c r="B59" t="str">
        <f t="shared" si="1"/>
        <v>A4R reinforced upper profiles in intermediate and bottom sections (recommended if section width &gt;= 4500mm)</v>
      </c>
      <c r="C59" t="s">
        <v>316</v>
      </c>
      <c r="D59" t="s">
        <v>475</v>
      </c>
      <c r="E59" t="s">
        <v>398</v>
      </c>
    </row>
    <row r="60" spans="1:5" x14ac:dyDescent="0.25">
      <c r="A60">
        <v>52</v>
      </c>
      <c r="B60" t="str">
        <f t="shared" si="1"/>
        <v>A4ETR reinforced upper profiles in intermediate and bottom sections (recommended if section width &gt;= 6000mm)</v>
      </c>
      <c r="C60" t="s">
        <v>317</v>
      </c>
      <c r="D60" t="s">
        <v>476</v>
      </c>
      <c r="E60" t="s">
        <v>399</v>
      </c>
    </row>
    <row r="61" spans="1:5" x14ac:dyDescent="0.25">
      <c r="A61">
        <v>53</v>
      </c>
      <c r="B61" t="str">
        <f t="shared" si="1"/>
        <v>Reinforced upper profile is not available for Kingspan panel type</v>
      </c>
      <c r="C61" t="s">
        <v>400</v>
      </c>
      <c r="D61" t="s">
        <v>477</v>
      </c>
      <c r="E61" t="s">
        <v>401</v>
      </c>
    </row>
    <row r="62" spans="1:5" x14ac:dyDescent="0.25">
      <c r="A62">
        <v>54</v>
      </c>
      <c r="B62" t="str">
        <f t="shared" si="1"/>
        <v>Reinforced upper profile is not available for Metecno panel type</v>
      </c>
      <c r="C62" t="s">
        <v>403</v>
      </c>
      <c r="D62" t="s">
        <v>478</v>
      </c>
      <c r="E62" t="s">
        <v>402</v>
      </c>
    </row>
    <row r="63" spans="1:5" x14ac:dyDescent="0.25">
      <c r="A63">
        <v>55</v>
      </c>
      <c r="B63" t="str">
        <f t="shared" si="1"/>
        <v>Reinforced upper profile is not available for TK Hoesch panel type</v>
      </c>
      <c r="C63" t="s">
        <v>404</v>
      </c>
      <c r="D63" t="s">
        <v>479</v>
      </c>
      <c r="E63" t="s">
        <v>405</v>
      </c>
    </row>
    <row r="64" spans="1:5" x14ac:dyDescent="0.25">
      <c r="A64">
        <v>56</v>
      </c>
      <c r="B64" t="str">
        <f t="shared" si="1"/>
        <v>A5R extra reinforcement on reinforced upper profiles (recommended if section width &gt;= 6000mm)</v>
      </c>
      <c r="C64" t="s">
        <v>314</v>
      </c>
      <c r="D64" t="s">
        <v>480</v>
      </c>
      <c r="E64" t="s">
        <v>406</v>
      </c>
    </row>
    <row r="65" spans="1:5" x14ac:dyDescent="0.25">
      <c r="A65">
        <v>57</v>
      </c>
      <c r="B65" t="str">
        <f t="shared" si="1"/>
        <v>A5TR extra reinforcement on reinforced upper profiles (recommended if section width &gt;= 6000mm)</v>
      </c>
      <c r="C65" t="s">
        <v>315</v>
      </c>
      <c r="D65" t="s">
        <v>481</v>
      </c>
      <c r="E65" t="s">
        <v>407</v>
      </c>
    </row>
    <row r="66" spans="1:5" x14ac:dyDescent="0.25">
      <c r="A66">
        <v>58</v>
      </c>
      <c r="B66" t="str">
        <f t="shared" si="1"/>
        <v>Extra reinforcement is not available for Kingspan panel type</v>
      </c>
      <c r="C66" t="s">
        <v>408</v>
      </c>
      <c r="D66" t="s">
        <v>482</v>
      </c>
      <c r="E66" t="s">
        <v>409</v>
      </c>
    </row>
    <row r="67" spans="1:5" x14ac:dyDescent="0.25">
      <c r="A67">
        <v>59</v>
      </c>
      <c r="B67" t="str">
        <f t="shared" si="1"/>
        <v>Extra reinforcement profile is not available for Metecno panel type</v>
      </c>
      <c r="C67" t="s">
        <v>410</v>
      </c>
      <c r="D67" t="s">
        <v>483</v>
      </c>
      <c r="E67" t="s">
        <v>411</v>
      </c>
    </row>
    <row r="68" spans="1:5" x14ac:dyDescent="0.25">
      <c r="A68">
        <v>60</v>
      </c>
      <c r="B68" t="str">
        <f t="shared" si="1"/>
        <v>extra reinforcement profile is not available for TK Hoesch panel type</v>
      </c>
      <c r="C68" t="s">
        <v>308</v>
      </c>
      <c r="D68" t="s">
        <v>484</v>
      </c>
      <c r="E68" t="s">
        <v>412</v>
      </c>
    </row>
    <row r="69" spans="1:5" x14ac:dyDescent="0.25">
      <c r="A69">
        <v>61</v>
      </c>
      <c r="B69" t="str">
        <f t="shared" si="1"/>
        <v>PROJECT SUMMARY</v>
      </c>
      <c r="C69" t="s">
        <v>137</v>
      </c>
      <c r="D69" t="s">
        <v>413</v>
      </c>
      <c r="E69" t="s">
        <v>414</v>
      </c>
    </row>
    <row r="70" spans="1:5" x14ac:dyDescent="0.25">
      <c r="A70">
        <v>62</v>
      </c>
      <c r="B70" t="str">
        <f t="shared" si="1"/>
        <v>Door (or ALU Sections Total) Size:</v>
      </c>
      <c r="C70" t="s">
        <v>5</v>
      </c>
      <c r="D70" t="s">
        <v>415</v>
      </c>
      <c r="E70" t="s">
        <v>416</v>
      </c>
    </row>
    <row r="71" spans="1:5" x14ac:dyDescent="0.25">
      <c r="A71">
        <v>63</v>
      </c>
      <c r="B71" t="str">
        <f t="shared" si="1"/>
        <v>Total weight per Door:</v>
      </c>
      <c r="C71" t="s">
        <v>7</v>
      </c>
      <c r="D71" t="s">
        <v>417</v>
      </c>
      <c r="E71" t="s">
        <v>418</v>
      </c>
    </row>
    <row r="72" spans="1:5" x14ac:dyDescent="0.25">
      <c r="A72">
        <v>64</v>
      </c>
      <c r="B72" t="str">
        <f t="shared" si="1"/>
        <v>Total number of Sections:</v>
      </c>
      <c r="C72" t="s">
        <v>35</v>
      </c>
      <c r="D72" t="s">
        <v>419</v>
      </c>
      <c r="E72" t="s">
        <v>420</v>
      </c>
    </row>
    <row r="73" spans="1:5" x14ac:dyDescent="0.25">
      <c r="A73">
        <v>65</v>
      </c>
      <c r="B73" t="str">
        <f t="shared" ref="B73:B99" si="2">INDEX($C$9:$J$65536,$A73,B$8)</f>
        <v>PRICE CALCULATION</v>
      </c>
      <c r="C73" t="s">
        <v>138</v>
      </c>
      <c r="D73" t="s">
        <v>421</v>
      </c>
      <c r="E73" t="s">
        <v>422</v>
      </c>
    </row>
    <row r="74" spans="1:5" x14ac:dyDescent="0.25">
      <c r="A74">
        <v>66</v>
      </c>
      <c r="B74" t="str">
        <f t="shared" si="2"/>
        <v>Gross Sales Price:</v>
      </c>
      <c r="C74" t="s">
        <v>319</v>
      </c>
      <c r="D74" t="s">
        <v>423</v>
      </c>
      <c r="E74" t="s">
        <v>424</v>
      </c>
    </row>
    <row r="75" spans="1:5" x14ac:dyDescent="0.25">
      <c r="A75">
        <v>67</v>
      </c>
      <c r="B75" t="str">
        <f t="shared" si="2"/>
        <v>Discount:</v>
      </c>
      <c r="C75" t="s">
        <v>320</v>
      </c>
      <c r="D75" t="s">
        <v>426</v>
      </c>
      <c r="E75" t="s">
        <v>425</v>
      </c>
    </row>
    <row r="76" spans="1:5" x14ac:dyDescent="0.25">
      <c r="A76">
        <v>68</v>
      </c>
      <c r="B76" t="str">
        <f t="shared" si="2"/>
        <v>Discounted Sales Price:</v>
      </c>
      <c r="C76" t="s">
        <v>321</v>
      </c>
      <c r="D76" t="s">
        <v>427</v>
      </c>
      <c r="E76" t="s">
        <v>428</v>
      </c>
    </row>
    <row r="77" spans="1:5" x14ac:dyDescent="0.25">
      <c r="A77">
        <v>69</v>
      </c>
      <c r="B77" t="str">
        <f t="shared" si="2"/>
        <v>Comments:</v>
      </c>
      <c r="C77" t="s">
        <v>86</v>
      </c>
      <c r="D77" t="s">
        <v>430</v>
      </c>
      <c r="E77" t="s">
        <v>429</v>
      </c>
    </row>
    <row r="78" spans="1:5" x14ac:dyDescent="0.25">
      <c r="A78">
        <v>70</v>
      </c>
      <c r="B78" t="str">
        <f t="shared" si="2"/>
        <v>GLASS SIZES</v>
      </c>
      <c r="C78" t="s">
        <v>431</v>
      </c>
      <c r="D78" t="s">
        <v>432</v>
      </c>
      <c r="E78" t="s">
        <v>433</v>
      </c>
    </row>
    <row r="79" spans="1:5" x14ac:dyDescent="0.25">
      <c r="A79">
        <v>71</v>
      </c>
      <c r="B79" t="str">
        <f t="shared" si="2"/>
        <v>Sections</v>
      </c>
      <c r="C79" t="s">
        <v>9</v>
      </c>
      <c r="D79" t="s">
        <v>9</v>
      </c>
      <c r="E79" t="s">
        <v>434</v>
      </c>
    </row>
    <row r="80" spans="1:5" x14ac:dyDescent="0.25">
      <c r="A80">
        <v>72</v>
      </c>
      <c r="B80" t="str">
        <f t="shared" si="2"/>
        <v>Width (mm)</v>
      </c>
      <c r="C80" t="s">
        <v>32</v>
      </c>
      <c r="D80" t="s">
        <v>435</v>
      </c>
      <c r="E80" t="s">
        <v>436</v>
      </c>
    </row>
    <row r="81" spans="1:5" x14ac:dyDescent="0.25">
      <c r="A81">
        <v>73</v>
      </c>
      <c r="B81" t="str">
        <f t="shared" si="2"/>
        <v>Height (mm)</v>
      </c>
      <c r="C81" t="s">
        <v>12</v>
      </c>
      <c r="D81" t="s">
        <v>370</v>
      </c>
      <c r="E81" t="s">
        <v>369</v>
      </c>
    </row>
    <row r="82" spans="1:5" x14ac:dyDescent="0.25">
      <c r="A82">
        <v>74</v>
      </c>
      <c r="B82" t="str">
        <f t="shared" si="2"/>
        <v>Qty</v>
      </c>
      <c r="C82" t="s">
        <v>33</v>
      </c>
      <c r="D82" t="s">
        <v>437</v>
      </c>
      <c r="E82" t="s">
        <v>438</v>
      </c>
    </row>
    <row r="83" spans="1:5" x14ac:dyDescent="0.25">
      <c r="A83">
        <v>75</v>
      </c>
      <c r="B83" t="str">
        <f t="shared" si="2"/>
        <v>Top</v>
      </c>
      <c r="C83" t="s">
        <v>8</v>
      </c>
      <c r="D83" t="s">
        <v>372</v>
      </c>
      <c r="E83" t="s">
        <v>371</v>
      </c>
    </row>
    <row r="84" spans="1:5" x14ac:dyDescent="0.25">
      <c r="A84">
        <v>76</v>
      </c>
      <c r="B84" t="str">
        <f t="shared" si="2"/>
        <v>Intermediate</v>
      </c>
      <c r="C84" t="s">
        <v>10</v>
      </c>
      <c r="D84" t="s">
        <v>439</v>
      </c>
      <c r="E84" t="s">
        <v>374</v>
      </c>
    </row>
    <row r="85" spans="1:5" x14ac:dyDescent="0.25">
      <c r="A85">
        <v>77</v>
      </c>
      <c r="B85" t="str">
        <f t="shared" si="2"/>
        <v>Bottom</v>
      </c>
      <c r="C85" t="s">
        <v>11</v>
      </c>
      <c r="D85" t="s">
        <v>376</v>
      </c>
      <c r="E85" t="s">
        <v>375</v>
      </c>
    </row>
    <row r="86" spans="1:5" x14ac:dyDescent="0.25">
      <c r="A86">
        <v>78</v>
      </c>
      <c r="B86" t="str">
        <f t="shared" si="2"/>
        <v>Profile</v>
      </c>
      <c r="C86" t="s">
        <v>79</v>
      </c>
      <c r="D86" t="s">
        <v>440</v>
      </c>
      <c r="E86" t="s">
        <v>442</v>
      </c>
    </row>
    <row r="87" spans="1:5" x14ac:dyDescent="0.25">
      <c r="A87">
        <v>79</v>
      </c>
      <c r="B87" t="str">
        <f t="shared" si="2"/>
        <v>Type</v>
      </c>
      <c r="C87" t="s">
        <v>142</v>
      </c>
      <c r="D87" t="s">
        <v>142</v>
      </c>
      <c r="E87" t="s">
        <v>443</v>
      </c>
    </row>
    <row r="88" spans="1:5" x14ac:dyDescent="0.25">
      <c r="A88">
        <v>80</v>
      </c>
      <c r="B88" t="str">
        <f t="shared" si="2"/>
        <v>Length (mm)</v>
      </c>
      <c r="C88" t="s">
        <v>44</v>
      </c>
      <c r="D88" t="s">
        <v>441</v>
      </c>
      <c r="E88" t="s">
        <v>444</v>
      </c>
    </row>
    <row r="89" spans="1:5" x14ac:dyDescent="0.25">
      <c r="A89">
        <v>81</v>
      </c>
      <c r="B89" t="str">
        <f t="shared" si="2"/>
        <v>Top Section</v>
      </c>
      <c r="C89" t="s">
        <v>38</v>
      </c>
      <c r="D89" t="s">
        <v>448</v>
      </c>
      <c r="E89" t="s">
        <v>445</v>
      </c>
    </row>
    <row r="90" spans="1:5" x14ac:dyDescent="0.25">
      <c r="A90">
        <v>82</v>
      </c>
      <c r="B90" t="str">
        <f t="shared" si="2"/>
        <v>Intermediate Section</v>
      </c>
      <c r="C90" t="s">
        <v>42</v>
      </c>
      <c r="D90" t="s">
        <v>449</v>
      </c>
      <c r="E90" t="s">
        <v>446</v>
      </c>
    </row>
    <row r="91" spans="1:5" x14ac:dyDescent="0.25">
      <c r="A91">
        <v>83</v>
      </c>
      <c r="B91" t="str">
        <f t="shared" si="2"/>
        <v>Bottom Section</v>
      </c>
      <c r="C91" t="s">
        <v>43</v>
      </c>
      <c r="D91" t="s">
        <v>450</v>
      </c>
      <c r="E91" t="s">
        <v>447</v>
      </c>
    </row>
    <row r="92" spans="1:5" x14ac:dyDescent="0.25">
      <c r="A92">
        <v>84</v>
      </c>
      <c r="B92" t="str">
        <f t="shared" si="2"/>
        <v>Upper</v>
      </c>
      <c r="C92" t="s">
        <v>39</v>
      </c>
      <c r="D92" t="s">
        <v>451</v>
      </c>
      <c r="E92" t="s">
        <v>371</v>
      </c>
    </row>
    <row r="93" spans="1:5" x14ac:dyDescent="0.25">
      <c r="A93">
        <v>85</v>
      </c>
      <c r="B93" t="str">
        <f t="shared" si="2"/>
        <v>Reinforcement</v>
      </c>
      <c r="C93" t="s">
        <v>312</v>
      </c>
      <c r="D93" t="s">
        <v>312</v>
      </c>
      <c r="E93" t="s">
        <v>454</v>
      </c>
    </row>
    <row r="94" spans="1:5" x14ac:dyDescent="0.25">
      <c r="A94">
        <v>86</v>
      </c>
      <c r="B94" t="str">
        <f t="shared" si="2"/>
        <v>Side</v>
      </c>
      <c r="C94" t="s">
        <v>40</v>
      </c>
      <c r="D94" t="s">
        <v>452</v>
      </c>
      <c r="E94" t="s">
        <v>453</v>
      </c>
    </row>
    <row r="95" spans="1:5" x14ac:dyDescent="0.25">
      <c r="A95">
        <v>87</v>
      </c>
      <c r="B95" t="str">
        <f t="shared" si="2"/>
        <v>Intermediate</v>
      </c>
      <c r="C95" t="s">
        <v>10</v>
      </c>
      <c r="D95" t="s">
        <v>439</v>
      </c>
      <c r="E95" t="s">
        <v>374</v>
      </c>
    </row>
    <row r="96" spans="1:5" x14ac:dyDescent="0.25">
      <c r="A96">
        <v>88</v>
      </c>
      <c r="B96" t="str">
        <f t="shared" si="2"/>
        <v>Lower</v>
      </c>
      <c r="C96" t="s">
        <v>41</v>
      </c>
      <c r="D96" t="s">
        <v>376</v>
      </c>
      <c r="E96" t="s">
        <v>375</v>
      </c>
    </row>
    <row r="97" spans="1:5" x14ac:dyDescent="0.25">
      <c r="A97">
        <v>89</v>
      </c>
      <c r="B97" t="str">
        <f t="shared" si="2"/>
        <v>PASSDOOR</v>
      </c>
      <c r="C97" t="s">
        <v>502</v>
      </c>
      <c r="D97" t="s">
        <v>502</v>
      </c>
      <c r="E97" t="s">
        <v>573</v>
      </c>
    </row>
    <row r="98" spans="1:5" x14ac:dyDescent="0.25">
      <c r="A98">
        <v>90</v>
      </c>
      <c r="B98" t="str">
        <f t="shared" si="2"/>
        <v xml:space="preserve">Passdoor type: </v>
      </c>
      <c r="C98" t="s">
        <v>512</v>
      </c>
      <c r="D98" t="s">
        <v>618</v>
      </c>
      <c r="E98" t="s">
        <v>574</v>
      </c>
    </row>
    <row r="99" spans="1:5" x14ac:dyDescent="0.25">
      <c r="A99">
        <v>91</v>
      </c>
      <c r="B99" t="str">
        <f t="shared" si="2"/>
        <v>Windows' width</v>
      </c>
      <c r="C99" t="s">
        <v>517</v>
      </c>
      <c r="D99" t="s">
        <v>619</v>
      </c>
      <c r="E99" t="s">
        <v>575</v>
      </c>
    </row>
    <row r="100" spans="1:5" x14ac:dyDescent="0.25">
      <c r="A100">
        <v>92</v>
      </c>
      <c r="B100" t="str">
        <f t="shared" ref="B100:B115" si="3">INDEX($C$9:$J$65536,$A100,B$8)</f>
        <v>Passdoor's outer width (mm):</v>
      </c>
      <c r="C100" t="s">
        <v>515</v>
      </c>
      <c r="D100" t="s">
        <v>620</v>
      </c>
      <c r="E100" t="s">
        <v>576</v>
      </c>
    </row>
    <row r="101" spans="1:5" x14ac:dyDescent="0.25">
      <c r="A101">
        <v>93</v>
      </c>
      <c r="B101" t="str">
        <f t="shared" si="3"/>
        <v>Passdoor's inner width (mm):</v>
      </c>
      <c r="C101" t="s">
        <v>516</v>
      </c>
      <c r="D101" t="s">
        <v>621</v>
      </c>
      <c r="E101" t="s">
        <v>577</v>
      </c>
    </row>
    <row r="102" spans="1:5" x14ac:dyDescent="0.25">
      <c r="A102">
        <v>94</v>
      </c>
      <c r="B102" t="str">
        <f t="shared" si="3"/>
        <v>Left section's width (mm):</v>
      </c>
      <c r="C102" t="s">
        <v>513</v>
      </c>
      <c r="D102" t="s">
        <v>622</v>
      </c>
      <c r="E102" t="s">
        <v>591</v>
      </c>
    </row>
    <row r="103" spans="1:5" x14ac:dyDescent="0.25">
      <c r="A103">
        <v>95</v>
      </c>
      <c r="B103" t="str">
        <f t="shared" si="3"/>
        <v>No. of fields in left section:</v>
      </c>
      <c r="C103" t="s">
        <v>510</v>
      </c>
      <c r="D103" t="s">
        <v>623</v>
      </c>
      <c r="E103" t="s">
        <v>578</v>
      </c>
    </row>
    <row r="104" spans="1:5" x14ac:dyDescent="0.25">
      <c r="A104">
        <v>96</v>
      </c>
      <c r="B104" t="str">
        <f t="shared" si="3"/>
        <v>Right section's width (mm):</v>
      </c>
      <c r="C104" t="s">
        <v>514</v>
      </c>
      <c r="D104" t="s">
        <v>624</v>
      </c>
      <c r="E104" t="s">
        <v>592</v>
      </c>
    </row>
    <row r="105" spans="1:5" x14ac:dyDescent="0.25">
      <c r="A105">
        <v>97</v>
      </c>
      <c r="B105" t="str">
        <f t="shared" si="3"/>
        <v>No. of fields in right section:</v>
      </c>
      <c r="C105" t="s">
        <v>511</v>
      </c>
      <c r="D105" t="s">
        <v>625</v>
      </c>
      <c r="E105" t="s">
        <v>579</v>
      </c>
    </row>
    <row r="106" spans="1:5" x14ac:dyDescent="0.25">
      <c r="A106">
        <v>98</v>
      </c>
      <c r="B106" t="str">
        <f t="shared" si="3"/>
        <v xml:space="preserve"> This option is currently unavailable for top or bottom sections.</v>
      </c>
      <c r="C106" t="s">
        <v>519</v>
      </c>
      <c r="D106" t="s">
        <v>626</v>
      </c>
      <c r="E106" t="s">
        <v>580</v>
      </c>
    </row>
    <row r="107" spans="1:5" x14ac:dyDescent="0.25">
      <c r="A107">
        <v>99</v>
      </c>
      <c r="B107" t="str">
        <f t="shared" si="3"/>
        <v xml:space="preserve"> Maximum width is 5 meters for sections with passdoor.</v>
      </c>
      <c r="C107" t="s">
        <v>572</v>
      </c>
      <c r="D107" t="s">
        <v>627</v>
      </c>
      <c r="E107" t="s">
        <v>581</v>
      </c>
    </row>
    <row r="108" spans="1:5" x14ac:dyDescent="0.25">
      <c r="A108">
        <v>100</v>
      </c>
      <c r="B108" t="str">
        <f t="shared" si="3"/>
        <v xml:space="preserve"> SafeStep is incompatible with non-fingersafe profiles.</v>
      </c>
      <c r="C108" t="s">
        <v>571</v>
      </c>
      <c r="D108" t="s">
        <v>628</v>
      </c>
      <c r="E108" t="s">
        <v>582</v>
      </c>
    </row>
    <row r="109" spans="1:5" x14ac:dyDescent="0.25">
      <c r="A109">
        <v>101</v>
      </c>
      <c r="B109" t="str">
        <f t="shared" si="3"/>
        <v>Intermediate left</v>
      </c>
      <c r="C109" t="s">
        <v>520</v>
      </c>
      <c r="D109" t="s">
        <v>629</v>
      </c>
      <c r="E109" t="s">
        <v>583</v>
      </c>
    </row>
    <row r="110" spans="1:5" x14ac:dyDescent="0.25">
      <c r="A110">
        <v>102</v>
      </c>
      <c r="B110" t="str">
        <f t="shared" si="3"/>
        <v>Intermediate right</v>
      </c>
      <c r="C110" t="s">
        <v>521</v>
      </c>
      <c r="D110" t="s">
        <v>630</v>
      </c>
      <c r="E110" t="s">
        <v>584</v>
      </c>
    </row>
    <row r="111" spans="1:5" x14ac:dyDescent="0.25">
      <c r="A111">
        <v>103</v>
      </c>
      <c r="B111" t="str">
        <f t="shared" si="3"/>
        <v>Upper left</v>
      </c>
      <c r="C111" t="s">
        <v>524</v>
      </c>
      <c r="D111" t="s">
        <v>631</v>
      </c>
      <c r="E111" t="s">
        <v>585</v>
      </c>
    </row>
    <row r="112" spans="1:5" x14ac:dyDescent="0.25">
      <c r="A112">
        <v>104</v>
      </c>
      <c r="B112" t="str">
        <f t="shared" si="3"/>
        <v>Upper right</v>
      </c>
      <c r="C112" t="s">
        <v>525</v>
      </c>
      <c r="D112" t="s">
        <v>632</v>
      </c>
      <c r="E112" t="s">
        <v>586</v>
      </c>
    </row>
    <row r="113" spans="1:5" x14ac:dyDescent="0.25">
      <c r="A113">
        <v>105</v>
      </c>
      <c r="B113" t="str">
        <f t="shared" si="3"/>
        <v>Lower left</v>
      </c>
      <c r="C113" t="s">
        <v>526</v>
      </c>
      <c r="D113" t="s">
        <v>633</v>
      </c>
      <c r="E113" t="s">
        <v>587</v>
      </c>
    </row>
    <row r="114" spans="1:5" x14ac:dyDescent="0.25">
      <c r="A114">
        <v>106</v>
      </c>
      <c r="B114" t="str">
        <f t="shared" si="3"/>
        <v>Lower right</v>
      </c>
      <c r="C114" t="s">
        <v>527</v>
      </c>
      <c r="D114" t="s">
        <v>634</v>
      </c>
      <c r="E114" t="s">
        <v>588</v>
      </c>
    </row>
    <row r="115" spans="1:5" x14ac:dyDescent="0.25">
      <c r="A115">
        <v>107</v>
      </c>
      <c r="B115" t="str">
        <f t="shared" si="3"/>
        <v>Passdoor side</v>
      </c>
      <c r="C115" t="s">
        <v>590</v>
      </c>
      <c r="D115" t="s">
        <v>635</v>
      </c>
      <c r="E115" t="s">
        <v>589</v>
      </c>
    </row>
  </sheetData>
  <sheetProtection algorithmName="SHA-512" hashValue="OZL9PUxxxen17mHf/XPpnoUQw+PthfDF2QUm7zdlqMPEM3PS4jni9Zw+DYM6a/B+Wq5qRpZiI7G+P+EJg2WNIQ==" saltValue="9Ah1NOOjXMdR+xwSJtYSeg==" spinCount="100000" sheet="1" selectLockedCells="1" selectUnlockedCell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Y10"/>
  <sheetViews>
    <sheetView topLeftCell="F1" workbookViewId="0">
      <selection activeCell="A7" sqref="A7"/>
    </sheetView>
  </sheetViews>
  <sheetFormatPr defaultRowHeight="15" x14ac:dyDescent="0.25"/>
  <cols>
    <col min="1" max="1" width="17.42578125" bestFit="1" customWidth="1"/>
    <col min="2" max="2" width="13.28515625" bestFit="1" customWidth="1"/>
    <col min="3" max="3" width="15" bestFit="1" customWidth="1"/>
    <col min="4" max="4" width="8.42578125" bestFit="1" customWidth="1"/>
    <col min="5" max="5" width="6.140625" bestFit="1" customWidth="1"/>
    <col min="6" max="7" width="14.140625" bestFit="1" customWidth="1"/>
    <col min="8" max="8" width="16" bestFit="1" customWidth="1"/>
    <col min="9" max="9" width="8.42578125" bestFit="1" customWidth="1"/>
    <col min="10" max="10" width="6.140625" bestFit="1" customWidth="1"/>
    <col min="11" max="12" width="14.140625" bestFit="1" customWidth="1"/>
    <col min="13" max="13" width="11.85546875" bestFit="1" customWidth="1"/>
    <col min="14" max="14" width="13.28515625" bestFit="1" customWidth="1"/>
    <col min="15" max="15" width="13.28515625" customWidth="1"/>
    <col min="16" max="24" width="13.28515625" bestFit="1" customWidth="1"/>
    <col min="25" max="25" width="14.28515625" bestFit="1" customWidth="1"/>
  </cols>
  <sheetData>
    <row r="1" spans="1:25" x14ac:dyDescent="0.25">
      <c r="P1">
        <f>M6-1</f>
        <v>-1</v>
      </c>
      <c r="Q1">
        <f>P1-1</f>
        <v>-2</v>
      </c>
      <c r="R1">
        <f t="shared" ref="R1:Y1" si="0">Q1-1</f>
        <v>-3</v>
      </c>
      <c r="S1">
        <f t="shared" si="0"/>
        <v>-4</v>
      </c>
      <c r="T1">
        <f t="shared" si="0"/>
        <v>-5</v>
      </c>
      <c r="U1">
        <f t="shared" si="0"/>
        <v>-6</v>
      </c>
      <c r="V1">
        <f t="shared" si="0"/>
        <v>-7</v>
      </c>
      <c r="W1">
        <f t="shared" si="0"/>
        <v>-8</v>
      </c>
      <c r="X1">
        <f t="shared" si="0"/>
        <v>-9</v>
      </c>
      <c r="Y1">
        <f t="shared" si="0"/>
        <v>-10</v>
      </c>
    </row>
    <row r="2" spans="1:25" x14ac:dyDescent="0.25">
      <c r="P2">
        <f>M7-1</f>
        <v>-1</v>
      </c>
      <c r="Q2">
        <f t="shared" ref="Q2:Y2" si="1">P2-1</f>
        <v>-2</v>
      </c>
      <c r="R2">
        <f t="shared" si="1"/>
        <v>-3</v>
      </c>
      <c r="S2">
        <f t="shared" si="1"/>
        <v>-4</v>
      </c>
      <c r="T2">
        <f t="shared" si="1"/>
        <v>-5</v>
      </c>
      <c r="U2">
        <f t="shared" si="1"/>
        <v>-6</v>
      </c>
      <c r="V2">
        <f t="shared" si="1"/>
        <v>-7</v>
      </c>
      <c r="W2">
        <f t="shared" si="1"/>
        <v>-8</v>
      </c>
      <c r="X2">
        <f t="shared" si="1"/>
        <v>-9</v>
      </c>
      <c r="Y2">
        <f t="shared" si="1"/>
        <v>-10</v>
      </c>
    </row>
    <row r="3" spans="1:25" x14ac:dyDescent="0.25">
      <c r="P3">
        <f>M8-1</f>
        <v>-1</v>
      </c>
      <c r="Q3">
        <f t="shared" ref="Q3:Y3" si="2">P3-1</f>
        <v>-2</v>
      </c>
      <c r="R3">
        <f t="shared" si="2"/>
        <v>-3</v>
      </c>
      <c r="S3">
        <f t="shared" si="2"/>
        <v>-4</v>
      </c>
      <c r="T3">
        <f t="shared" si="2"/>
        <v>-5</v>
      </c>
      <c r="U3">
        <f t="shared" si="2"/>
        <v>-6</v>
      </c>
      <c r="V3">
        <f t="shared" si="2"/>
        <v>-7</v>
      </c>
      <c r="W3">
        <f t="shared" si="2"/>
        <v>-8</v>
      </c>
      <c r="X3">
        <f t="shared" si="2"/>
        <v>-9</v>
      </c>
      <c r="Y3">
        <f t="shared" si="2"/>
        <v>-10</v>
      </c>
    </row>
    <row r="4" spans="1:25" x14ac:dyDescent="0.25">
      <c r="P4">
        <f>M9-1</f>
        <v>-1</v>
      </c>
      <c r="Q4">
        <f t="shared" ref="Q4:Y4" si="3">P4-1</f>
        <v>-2</v>
      </c>
      <c r="R4">
        <f t="shared" si="3"/>
        <v>-3</v>
      </c>
      <c r="S4">
        <f t="shared" si="3"/>
        <v>-4</v>
      </c>
      <c r="T4">
        <f t="shared" si="3"/>
        <v>-5</v>
      </c>
      <c r="U4">
        <f t="shared" si="3"/>
        <v>-6</v>
      </c>
      <c r="V4">
        <f t="shared" si="3"/>
        <v>-7</v>
      </c>
      <c r="W4">
        <f t="shared" si="3"/>
        <v>-8</v>
      </c>
      <c r="X4">
        <f t="shared" si="3"/>
        <v>-9</v>
      </c>
      <c r="Y4">
        <f t="shared" si="3"/>
        <v>-10</v>
      </c>
    </row>
    <row r="5" spans="1:25" x14ac:dyDescent="0.25">
      <c r="A5" t="s">
        <v>529</v>
      </c>
      <c r="B5" t="s">
        <v>596</v>
      </c>
      <c r="C5" t="s">
        <v>598</v>
      </c>
      <c r="D5" t="s">
        <v>597</v>
      </c>
      <c r="E5" t="s">
        <v>605</v>
      </c>
      <c r="F5" t="s">
        <v>601</v>
      </c>
      <c r="G5" t="s">
        <v>602</v>
      </c>
      <c r="H5" t="s">
        <v>599</v>
      </c>
      <c r="I5" t="s">
        <v>597</v>
      </c>
      <c r="J5" t="s">
        <v>605</v>
      </c>
      <c r="K5" t="s">
        <v>603</v>
      </c>
      <c r="L5" t="s">
        <v>604</v>
      </c>
      <c r="M5" t="s">
        <v>606</v>
      </c>
      <c r="N5" t="s">
        <v>636</v>
      </c>
      <c r="O5" t="s">
        <v>637</v>
      </c>
      <c r="P5" t="s">
        <v>600</v>
      </c>
      <c r="Q5" t="s">
        <v>607</v>
      </c>
      <c r="R5" t="s">
        <v>608</v>
      </c>
      <c r="S5" t="s">
        <v>609</v>
      </c>
      <c r="T5" t="s">
        <v>610</v>
      </c>
      <c r="U5" t="s">
        <v>611</v>
      </c>
      <c r="V5" t="s">
        <v>612</v>
      </c>
      <c r="W5" t="s">
        <v>613</v>
      </c>
      <c r="X5" t="s">
        <v>614</v>
      </c>
      <c r="Y5" t="s">
        <v>615</v>
      </c>
    </row>
    <row r="6" spans="1:25" x14ac:dyDescent="0.25">
      <c r="A6" t="s">
        <v>616</v>
      </c>
      <c r="B6">
        <f>IF('order form'!$D$58=1,IF(staging!$I$16&gt;0,staging!$D$16,IF(staging!$I$57&gt;0,staging!$D$57,IF(staging!$I$88&gt;0,staging!$D$88,0))),0)</f>
        <v>0</v>
      </c>
      <c r="C6" t="str">
        <f>SUBSTITUTE(IF(staging!$I$17&gt;0,staging!$C$17,IF(staging!$I$60&gt;0,staging!$C$60,IF(staging!$I$89&gt;0,staging!$C$89," - "))),"1000","")</f>
        <v xml:space="preserve"> - </v>
      </c>
      <c r="D6">
        <f>IF(C6="A1E",65.5,IF(C6="A1D",145.5,0))</f>
        <v>0</v>
      </c>
      <c r="E6">
        <f>IF(C6="A1E",80,IF(C6="A1D",160,0))</f>
        <v>0</v>
      </c>
      <c r="F6">
        <v>10.3</v>
      </c>
      <c r="G6">
        <f>F6+D6</f>
        <v>10.3</v>
      </c>
      <c r="H6" t="str">
        <f>SUBSTITUTE(IF(staging!$I$17&gt;0,staging!$C$17,IF(staging!$I$60&gt;0,staging!$C$60,IF(staging!$I$89&gt;0,staging!$C$89," - "))),"1000","")</f>
        <v xml:space="preserve"> - </v>
      </c>
      <c r="I6">
        <f>IF(H6="A1E",65.5,IF(H6="A1D",145.5,0))</f>
        <v>0</v>
      </c>
      <c r="J6">
        <f>IF(H6="A1E",80,IF(H6="A1D",160,0))</f>
        <v>0</v>
      </c>
      <c r="K6">
        <f>L6-I6</f>
        <v>-10.3</v>
      </c>
      <c r="L6">
        <f>B6-F6</f>
        <v>-10.3</v>
      </c>
      <c r="M6">
        <f>IF(B6&gt;0,'order form'!$K$18,0)</f>
        <v>0</v>
      </c>
      <c r="N6" s="323" t="e">
        <f>(B6-E6-J6-12.2*(M6-1))/M6+10.3</f>
        <v>#DIV/0!</v>
      </c>
      <c r="O6" s="323" t="e">
        <f>(K6-G6-2*N6)/(M6-2)</f>
        <v>#DIV/0!</v>
      </c>
      <c r="P6" s="323" t="e">
        <f>G6+N6</f>
        <v>#DIV/0!</v>
      </c>
      <c r="Q6" s="323" t="e">
        <f>IF(Q1&gt;0,$O6,$N6)+P6</f>
        <v>#DIV/0!</v>
      </c>
      <c r="R6" s="323" t="e">
        <f t="shared" ref="R6:Y6" si="4">IF(R1&gt;0,$O6,$N6)+Q6</f>
        <v>#DIV/0!</v>
      </c>
      <c r="S6" s="323" t="e">
        <f t="shared" si="4"/>
        <v>#DIV/0!</v>
      </c>
      <c r="T6" s="323" t="e">
        <f t="shared" si="4"/>
        <v>#DIV/0!</v>
      </c>
      <c r="U6" s="323" t="e">
        <f t="shared" si="4"/>
        <v>#DIV/0!</v>
      </c>
      <c r="V6" s="323" t="e">
        <f t="shared" si="4"/>
        <v>#DIV/0!</v>
      </c>
      <c r="W6" s="323" t="e">
        <f t="shared" si="4"/>
        <v>#DIV/0!</v>
      </c>
      <c r="X6" s="323" t="e">
        <f t="shared" si="4"/>
        <v>#DIV/0!</v>
      </c>
      <c r="Y6" s="323" t="e">
        <f t="shared" si="4"/>
        <v>#DIV/0!</v>
      </c>
    </row>
    <row r="7" spans="1:25" x14ac:dyDescent="0.25">
      <c r="A7" t="s">
        <v>593</v>
      </c>
      <c r="B7">
        <f>IF('order form'!$D$58&gt;1,staging!$D$57,0)</f>
        <v>0</v>
      </c>
      <c r="C7" t="str">
        <f>SUBSTITUTE(IF(staging!$I$61&gt;0,staging!$C$61," - "),"1000","")</f>
        <v xml:space="preserve"> - </v>
      </c>
      <c r="D7">
        <f>IF(C7="A1E",65.5,IF(C7="A1D",145.5,0))</f>
        <v>0</v>
      </c>
      <c r="E7">
        <f>IF(C7="A1E",80,IF(C7="A1D",160,0))</f>
        <v>0</v>
      </c>
      <c r="F7">
        <v>10.3</v>
      </c>
      <c r="G7">
        <f>F7+D7</f>
        <v>10.3</v>
      </c>
      <c r="H7" t="str">
        <f>SUBSTITUTE(IF(staging!$I$61&gt;0,staging!$C$61," - "),"1000","")</f>
        <v xml:space="preserve"> - </v>
      </c>
      <c r="I7">
        <f>IF(H7="A1E",65.5,IF(H7="A1D",145.5,0))</f>
        <v>0</v>
      </c>
      <c r="J7">
        <f>IF(H7="A1E",80,IF(H7="A1D",160,0))</f>
        <v>0</v>
      </c>
      <c r="K7">
        <f>L7-I7</f>
        <v>-10.3</v>
      </c>
      <c r="L7">
        <f>B7-F7</f>
        <v>-10.3</v>
      </c>
      <c r="M7">
        <f>IF(B7&gt;0,1,0)</f>
        <v>0</v>
      </c>
      <c r="N7" s="323" t="e">
        <f>(B7-E7-J7-12.2*(M7-1))/M7+10.3</f>
        <v>#DIV/0!</v>
      </c>
      <c r="O7" s="323" t="e">
        <f>(K7-G7-2*N7)/(M7-2)</f>
        <v>#DIV/0!</v>
      </c>
      <c r="P7" s="323" t="e">
        <f>ROUND(G7+N7,1)</f>
        <v>#DIV/0!</v>
      </c>
      <c r="Q7" s="323" t="e">
        <f t="shared" ref="Q7:Y9" si="5">IF(Q2&gt;0,$O7,$N7)+P7</f>
        <v>#DIV/0!</v>
      </c>
      <c r="R7" s="323" t="e">
        <f t="shared" si="5"/>
        <v>#DIV/0!</v>
      </c>
      <c r="S7" s="323" t="e">
        <f t="shared" si="5"/>
        <v>#DIV/0!</v>
      </c>
      <c r="T7" s="323" t="e">
        <f t="shared" si="5"/>
        <v>#DIV/0!</v>
      </c>
      <c r="U7" s="323" t="e">
        <f t="shared" si="5"/>
        <v>#DIV/0!</v>
      </c>
      <c r="V7" s="323" t="e">
        <f t="shared" si="5"/>
        <v>#DIV/0!</v>
      </c>
      <c r="W7" s="323" t="e">
        <f t="shared" si="5"/>
        <v>#DIV/0!</v>
      </c>
      <c r="X7" s="323" t="e">
        <f t="shared" si="5"/>
        <v>#DIV/0!</v>
      </c>
      <c r="Y7" s="323" t="e">
        <f t="shared" si="5"/>
        <v>#DIV/0!</v>
      </c>
    </row>
    <row r="8" spans="1:25" x14ac:dyDescent="0.25">
      <c r="A8" t="s">
        <v>594</v>
      </c>
      <c r="B8">
        <f>IF('order form'!$D$58&gt;1,staging!$D$58,0)</f>
        <v>0</v>
      </c>
      <c r="C8" t="str">
        <f>SUBSTITUTE(IF(staging!$I$60,staging!$C$60," - "),"1000","")</f>
        <v xml:space="preserve"> - </v>
      </c>
      <c r="D8">
        <f>IF(C8="A1E",65.5,IF(C8="A1D",145.5,0))</f>
        <v>0</v>
      </c>
      <c r="E8">
        <f>IF(C8="A1E",80,IF(C8="A1D",160,0))</f>
        <v>0</v>
      </c>
      <c r="F8">
        <v>10.3</v>
      </c>
      <c r="G8">
        <f>F8+D8</f>
        <v>10.3</v>
      </c>
      <c r="H8" t="str">
        <f>SUBSTITUTE(IF(staging!$I$61&gt;0,staging!$C$61," - "),"1000","")</f>
        <v xml:space="preserve"> - </v>
      </c>
      <c r="I8">
        <f>IF(H8="A1E",65.5,IF(H8="A1D",145.5,0))</f>
        <v>0</v>
      </c>
      <c r="J8">
        <f>IF(H8="A1E",80,IF(H8="A1D",160,0))</f>
        <v>0</v>
      </c>
      <c r="K8">
        <f>L8-I8</f>
        <v>-10.3</v>
      </c>
      <c r="L8">
        <f>B8-F8</f>
        <v>-10.3</v>
      </c>
      <c r="M8">
        <f>IF(B8&gt;0,'order form'!$J$62,0)</f>
        <v>0</v>
      </c>
      <c r="N8" s="323" t="e">
        <f>(B8-E8-J8-12.2*(M8-1))/M8+10.3</f>
        <v>#DIV/0!</v>
      </c>
      <c r="O8" s="323" t="e">
        <f>(K8-G8-2*N8)/(M8-2)</f>
        <v>#DIV/0!</v>
      </c>
      <c r="P8" s="323" t="e">
        <f>ROUND(G8+N8,1)</f>
        <v>#DIV/0!</v>
      </c>
      <c r="Q8" s="323" t="e">
        <f t="shared" si="5"/>
        <v>#DIV/0!</v>
      </c>
      <c r="R8" s="323" t="e">
        <f t="shared" si="5"/>
        <v>#DIV/0!</v>
      </c>
      <c r="S8" s="323" t="e">
        <f t="shared" si="5"/>
        <v>#DIV/0!</v>
      </c>
      <c r="T8" s="323" t="e">
        <f t="shared" si="5"/>
        <v>#DIV/0!</v>
      </c>
      <c r="U8" s="323" t="e">
        <f t="shared" si="5"/>
        <v>#DIV/0!</v>
      </c>
      <c r="V8" s="323" t="e">
        <f t="shared" si="5"/>
        <v>#DIV/0!</v>
      </c>
      <c r="W8" s="323" t="e">
        <f t="shared" si="5"/>
        <v>#DIV/0!</v>
      </c>
      <c r="X8" s="323" t="e">
        <f t="shared" si="5"/>
        <v>#DIV/0!</v>
      </c>
      <c r="Y8" s="323" t="e">
        <f t="shared" si="5"/>
        <v>#DIV/0!</v>
      </c>
    </row>
    <row r="9" spans="1:25" x14ac:dyDescent="0.25">
      <c r="A9" t="s">
        <v>595</v>
      </c>
      <c r="B9">
        <f>IF('order form'!$D$58&gt;1,staging!$D$59,0)</f>
        <v>0</v>
      </c>
      <c r="C9" t="str">
        <f>SUBSTITUTE(IF(staging!$I$61&gt;0,staging!$C$61," - "),"1000","")</f>
        <v xml:space="preserve"> - </v>
      </c>
      <c r="D9">
        <f>IF(C9="A1E",65.5,IF(C9="A1D",145.5,0))</f>
        <v>0</v>
      </c>
      <c r="E9">
        <f>IF(C9="A1E",80,IF(C9="A1D",160,0))</f>
        <v>0</v>
      </c>
      <c r="F9">
        <v>10.3</v>
      </c>
      <c r="G9">
        <f>F9+D9</f>
        <v>10.3</v>
      </c>
      <c r="H9" t="str">
        <f>SUBSTITUTE(IF(staging!$I$60,staging!$C$60," - "),"1000","")</f>
        <v xml:space="preserve"> - </v>
      </c>
      <c r="I9">
        <f>IF(H9="A1E",65.5,IF(H9="A1D",145.5,0))</f>
        <v>0</v>
      </c>
      <c r="J9">
        <f>IF(H9="A1E",80,IF(H9="A1D",160,0))</f>
        <v>0</v>
      </c>
      <c r="K9">
        <f>L9-I9</f>
        <v>-10.3</v>
      </c>
      <c r="L9">
        <f>B9-F9</f>
        <v>-10.3</v>
      </c>
      <c r="M9">
        <f>IF(B9&gt;0,'order form'!$J$64,0)</f>
        <v>0</v>
      </c>
      <c r="N9" s="323" t="e">
        <f>(B9-E9-J9-12.2*(M9-1))/M9+10.3</f>
        <v>#DIV/0!</v>
      </c>
      <c r="O9" s="323" t="e">
        <f>(K9-G9-2*N9)/(M9-2)</f>
        <v>#DIV/0!</v>
      </c>
      <c r="P9" s="323" t="e">
        <f>ROUND(G9+N9,1)</f>
        <v>#DIV/0!</v>
      </c>
      <c r="Q9" s="323" t="e">
        <f t="shared" si="5"/>
        <v>#DIV/0!</v>
      </c>
      <c r="R9" s="323" t="e">
        <f t="shared" si="5"/>
        <v>#DIV/0!</v>
      </c>
      <c r="S9" s="323" t="e">
        <f t="shared" si="5"/>
        <v>#DIV/0!</v>
      </c>
      <c r="T9" s="323" t="e">
        <f t="shared" si="5"/>
        <v>#DIV/0!</v>
      </c>
      <c r="U9" s="323" t="e">
        <f t="shared" si="5"/>
        <v>#DIV/0!</v>
      </c>
      <c r="V9" s="323" t="e">
        <f t="shared" si="5"/>
        <v>#DIV/0!</v>
      </c>
      <c r="W9" s="323" t="e">
        <f t="shared" si="5"/>
        <v>#DIV/0!</v>
      </c>
      <c r="X9" s="323" t="e">
        <f t="shared" si="5"/>
        <v>#DIV/0!</v>
      </c>
      <c r="Y9" s="323" t="e">
        <f t="shared" si="5"/>
        <v>#DIV/0!</v>
      </c>
    </row>
    <row r="10" spans="1:25" x14ac:dyDescent="0.25">
      <c r="P10" s="323"/>
      <c r="Q10" s="323"/>
    </row>
  </sheetData>
  <sheetProtection algorithmName="SHA-512" hashValue="rCq7W48+1DNHuQoG+2RDloepM6bgLsayvhmKbsnQpGp4tpGfw4d+t25vNAyDgz2Z+Ve+e83xczwk9r9/dCBthA==" saltValue="tYDtGunbVGRKPzpVFKR1vA==" spinCount="100000" sheet="1" objects="1" scenarios="1"/>
  <phoneticPr fontId="1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Munka3"/>
  <dimension ref="A1:Q55"/>
  <sheetViews>
    <sheetView workbookViewId="0">
      <selection activeCell="E1" sqref="E1"/>
    </sheetView>
  </sheetViews>
  <sheetFormatPr defaultRowHeight="15" x14ac:dyDescent="0.25"/>
  <cols>
    <col min="1" max="1" width="16.42578125" style="113" bestFit="1" customWidth="1"/>
    <col min="2" max="2" width="9" style="113" bestFit="1" customWidth="1"/>
    <col min="3" max="3" width="13.5703125" style="113" bestFit="1" customWidth="1"/>
    <col min="4" max="4" width="14.140625" style="113" bestFit="1" customWidth="1"/>
    <col min="5" max="5" width="12" style="113" bestFit="1" customWidth="1"/>
    <col min="6" max="6" width="12.7109375" style="113" bestFit="1" customWidth="1"/>
    <col min="7" max="7" width="11.140625" style="113" bestFit="1" customWidth="1"/>
    <col min="8" max="8" width="10.140625" style="113" customWidth="1"/>
    <col min="9" max="9" width="7" style="113" bestFit="1" customWidth="1"/>
    <col min="10" max="10" width="12.7109375" style="113" bestFit="1" customWidth="1"/>
    <col min="11" max="11" width="7.7109375" style="113" bestFit="1" customWidth="1"/>
    <col min="12" max="12" width="9.140625" style="113"/>
    <col min="13" max="13" width="10.5703125" style="113" bestFit="1" customWidth="1"/>
    <col min="14" max="14" width="16.28515625" style="113" bestFit="1" customWidth="1"/>
    <col min="15" max="15" width="11.42578125" style="113" bestFit="1" customWidth="1"/>
    <col min="16" max="16" width="9.5703125" style="113" customWidth="1"/>
    <col min="17" max="16384" width="9.140625" style="113"/>
  </cols>
  <sheetData>
    <row r="1" spans="1:17" ht="17.25" x14ac:dyDescent="0.25">
      <c r="A1" s="113" t="s">
        <v>23</v>
      </c>
      <c r="B1" s="113" t="s">
        <v>617</v>
      </c>
      <c r="C1" s="113" t="s">
        <v>128</v>
      </c>
      <c r="D1" s="113" t="s">
        <v>322</v>
      </c>
      <c r="G1" s="295"/>
      <c r="H1" s="295"/>
    </row>
    <row r="2" spans="1:17" x14ac:dyDescent="0.25">
      <c r="A2" s="113" t="s">
        <v>69</v>
      </c>
      <c r="B2" s="250">
        <v>0.12317647058823529</v>
      </c>
      <c r="C2" s="118">
        <v>7.0000000000000001E-3</v>
      </c>
      <c r="F2" s="294"/>
      <c r="G2" s="296"/>
      <c r="H2" s="296"/>
      <c r="I2" s="114"/>
      <c r="J2" s="250"/>
      <c r="K2" s="297"/>
    </row>
    <row r="3" spans="1:17" x14ac:dyDescent="0.25">
      <c r="A3" s="113" t="s">
        <v>70</v>
      </c>
      <c r="B3" s="250">
        <v>27.25337954452614</v>
      </c>
      <c r="C3" s="118">
        <v>2.0463847203274215</v>
      </c>
      <c r="D3" s="113">
        <v>0.43769999999999998</v>
      </c>
      <c r="F3" s="294"/>
      <c r="G3" s="296"/>
      <c r="H3" s="296"/>
      <c r="I3" s="114"/>
      <c r="J3" s="250"/>
      <c r="K3" s="297"/>
      <c r="N3" s="296"/>
      <c r="O3" s="296"/>
      <c r="P3" s="250"/>
      <c r="Q3" s="328"/>
    </row>
    <row r="4" spans="1:17" x14ac:dyDescent="0.25">
      <c r="A4" s="113" t="s">
        <v>73</v>
      </c>
      <c r="B4" s="250">
        <v>16.855849077478215</v>
      </c>
      <c r="C4" s="118">
        <v>1.2871853546910754</v>
      </c>
      <c r="D4" s="113">
        <v>0.2782</v>
      </c>
      <c r="F4" s="294"/>
      <c r="G4" s="296"/>
      <c r="H4" s="296"/>
      <c r="I4" s="114"/>
      <c r="J4" s="250"/>
      <c r="K4" s="297"/>
      <c r="N4" s="296"/>
      <c r="O4" s="296"/>
      <c r="P4" s="250"/>
      <c r="Q4" s="328"/>
    </row>
    <row r="5" spans="1:17" x14ac:dyDescent="0.25">
      <c r="A5" s="113" t="s">
        <v>76</v>
      </c>
      <c r="B5" s="250">
        <v>9.7302275667211333</v>
      </c>
      <c r="C5" s="118">
        <v>0.70182474433527176</v>
      </c>
      <c r="D5" s="113">
        <v>0.08</v>
      </c>
      <c r="F5" s="294"/>
      <c r="G5" s="296"/>
      <c r="H5" s="296"/>
      <c r="I5" s="114"/>
      <c r="J5" s="250"/>
      <c r="K5" s="297"/>
      <c r="N5" s="296"/>
      <c r="O5" s="296"/>
      <c r="P5" s="250"/>
      <c r="Q5" s="328"/>
    </row>
    <row r="6" spans="1:17" x14ac:dyDescent="0.25">
      <c r="A6" s="113" t="s">
        <v>91</v>
      </c>
      <c r="B6" s="250">
        <v>13.728938844635074</v>
      </c>
      <c r="C6" s="118">
        <v>0.95060838936919623</v>
      </c>
      <c r="D6" s="113">
        <v>0.18099999999999999</v>
      </c>
      <c r="F6" s="294"/>
      <c r="G6" s="296"/>
      <c r="H6" s="296"/>
      <c r="I6" s="114"/>
      <c r="J6" s="250"/>
      <c r="K6" s="297"/>
      <c r="N6" s="296"/>
      <c r="O6" s="296"/>
      <c r="P6" s="250"/>
      <c r="Q6" s="328"/>
    </row>
    <row r="7" spans="1:17" x14ac:dyDescent="0.25">
      <c r="A7" s="113" t="s">
        <v>92</v>
      </c>
      <c r="B7" s="250">
        <v>10.397977260348583</v>
      </c>
      <c r="C7" s="118">
        <v>1.0607637498999281</v>
      </c>
      <c r="D7" s="113">
        <v>0.193</v>
      </c>
      <c r="F7" s="294"/>
      <c r="G7" s="296"/>
      <c r="H7" s="296"/>
      <c r="I7" s="114"/>
      <c r="J7" s="250"/>
      <c r="K7" s="297"/>
      <c r="N7" s="296"/>
      <c r="O7" s="296"/>
      <c r="P7" s="250"/>
      <c r="Q7" s="328"/>
    </row>
    <row r="8" spans="1:17" x14ac:dyDescent="0.25">
      <c r="A8" s="113" t="s">
        <v>93</v>
      </c>
      <c r="B8" s="250">
        <v>13.507539648764432</v>
      </c>
      <c r="C8" s="118">
        <v>1</v>
      </c>
      <c r="D8" s="113">
        <v>0.21199999999999999</v>
      </c>
      <c r="F8" s="294"/>
      <c r="G8" s="296"/>
      <c r="H8" s="296"/>
      <c r="I8" s="114"/>
      <c r="J8" s="250"/>
      <c r="K8" s="297"/>
      <c r="N8" s="296"/>
      <c r="O8" s="296"/>
      <c r="P8" s="250"/>
      <c r="Q8" s="328"/>
    </row>
    <row r="9" spans="1:17" x14ac:dyDescent="0.25">
      <c r="A9" s="113" t="s">
        <v>94</v>
      </c>
      <c r="B9" s="250">
        <v>12.35281658496732</v>
      </c>
      <c r="C9" s="118">
        <v>0.96049945971905382</v>
      </c>
      <c r="D9" s="113">
        <v>0.19700000000000001</v>
      </c>
      <c r="F9" s="294"/>
      <c r="G9" s="296"/>
      <c r="H9" s="296"/>
      <c r="I9" s="114"/>
      <c r="J9" s="250"/>
      <c r="K9" s="297"/>
      <c r="N9" s="296"/>
      <c r="O9" s="296"/>
      <c r="P9" s="250"/>
      <c r="Q9" s="328"/>
    </row>
    <row r="10" spans="1:17" x14ac:dyDescent="0.25">
      <c r="A10" s="113" t="s">
        <v>95</v>
      </c>
      <c r="B10" s="250">
        <v>13.844953193082787</v>
      </c>
      <c r="C10" s="118">
        <v>0.95782701929949965</v>
      </c>
      <c r="D10" s="113">
        <v>0.20899999999999999</v>
      </c>
      <c r="F10" s="294"/>
      <c r="G10" s="296"/>
      <c r="H10" s="296"/>
      <c r="I10" s="114"/>
      <c r="J10" s="250"/>
      <c r="K10" s="297"/>
      <c r="N10" s="296"/>
      <c r="O10" s="296"/>
      <c r="P10" s="250"/>
      <c r="Q10" s="328"/>
    </row>
    <row r="11" spans="1:17" x14ac:dyDescent="0.25">
      <c r="A11" s="113" t="s">
        <v>96</v>
      </c>
      <c r="B11" s="250">
        <v>10.802858626089323</v>
      </c>
      <c r="C11" s="118">
        <v>0.8399496030238186</v>
      </c>
      <c r="D11" s="113">
        <v>0.157</v>
      </c>
      <c r="F11" s="294"/>
      <c r="G11" s="296"/>
      <c r="H11" s="296"/>
      <c r="I11" s="114"/>
      <c r="J11" s="250"/>
      <c r="K11" s="297"/>
      <c r="N11" s="296"/>
      <c r="O11" s="296"/>
      <c r="P11" s="250"/>
      <c r="Q11" s="328"/>
    </row>
    <row r="12" spans="1:17" x14ac:dyDescent="0.25">
      <c r="A12" s="113" t="s">
        <v>97</v>
      </c>
      <c r="B12" s="250">
        <v>9.4113897767598722</v>
      </c>
      <c r="C12" s="118">
        <v>0.89200000000000002</v>
      </c>
      <c r="D12" s="113">
        <v>0.16400000000000001</v>
      </c>
      <c r="F12" s="294"/>
      <c r="G12" s="296"/>
      <c r="H12" s="296"/>
      <c r="I12" s="114"/>
      <c r="J12" s="250"/>
      <c r="K12" s="297"/>
      <c r="N12" s="296"/>
      <c r="O12" s="296"/>
      <c r="P12" s="250"/>
      <c r="Q12" s="328"/>
    </row>
    <row r="13" spans="1:17" x14ac:dyDescent="0.25">
      <c r="A13" s="113" t="s">
        <v>98</v>
      </c>
      <c r="B13" s="250">
        <v>9.2262265965413928</v>
      </c>
      <c r="C13" s="118">
        <v>0.92824887104867027</v>
      </c>
      <c r="D13" s="113">
        <v>0.16700000000000001</v>
      </c>
      <c r="F13" s="294"/>
      <c r="G13" s="296"/>
      <c r="H13" s="296"/>
      <c r="I13" s="114"/>
      <c r="J13" s="250"/>
      <c r="K13" s="297"/>
      <c r="N13" s="296"/>
      <c r="O13" s="296"/>
      <c r="P13" s="250"/>
      <c r="Q13" s="328"/>
    </row>
    <row r="14" spans="1:17" x14ac:dyDescent="0.25">
      <c r="A14" s="113" t="s">
        <v>99</v>
      </c>
      <c r="B14" s="250">
        <v>10.745608064406319</v>
      </c>
      <c r="C14" s="118">
        <v>0.85073162920111289</v>
      </c>
      <c r="D14" s="113">
        <v>0.157</v>
      </c>
      <c r="F14" s="294"/>
      <c r="G14" s="296"/>
      <c r="H14" s="296"/>
      <c r="I14" s="114"/>
      <c r="J14" s="250"/>
      <c r="K14" s="297"/>
      <c r="N14" s="296"/>
      <c r="O14" s="296"/>
      <c r="P14" s="250"/>
      <c r="Q14" s="328"/>
    </row>
    <row r="15" spans="1:17" x14ac:dyDescent="0.25">
      <c r="A15" s="113" t="s">
        <v>100</v>
      </c>
      <c r="B15" s="250">
        <v>14.573699023011983</v>
      </c>
      <c r="C15" s="118">
        <v>1.071800625050084</v>
      </c>
      <c r="D15" s="113">
        <v>0.26300000000000001</v>
      </c>
      <c r="F15" s="294"/>
      <c r="G15" s="296"/>
      <c r="H15" s="296"/>
      <c r="I15" s="114"/>
      <c r="J15" s="250"/>
      <c r="K15" s="297"/>
      <c r="N15" s="296"/>
      <c r="O15" s="296"/>
      <c r="P15" s="250"/>
      <c r="Q15" s="328"/>
    </row>
    <row r="16" spans="1:17" x14ac:dyDescent="0.25">
      <c r="A16" s="113" t="s">
        <v>101</v>
      </c>
      <c r="B16" s="250">
        <v>11.552623485157953</v>
      </c>
      <c r="C16" s="118">
        <v>0.90303419489484671</v>
      </c>
      <c r="D16" s="113">
        <v>0.16300000000000001</v>
      </c>
      <c r="F16" s="294"/>
      <c r="G16" s="296"/>
      <c r="H16" s="296"/>
      <c r="I16" s="114"/>
      <c r="J16" s="250"/>
      <c r="K16" s="297"/>
      <c r="N16" s="296"/>
      <c r="O16" s="296"/>
      <c r="P16" s="250"/>
      <c r="Q16" s="328"/>
    </row>
    <row r="17" spans="1:17" x14ac:dyDescent="0.25">
      <c r="A17" s="113" t="s">
        <v>102</v>
      </c>
      <c r="B17" s="250">
        <v>11.864045819716774</v>
      </c>
      <c r="C17" s="118">
        <v>0.9768070931222762</v>
      </c>
      <c r="D17" s="113">
        <v>0.26</v>
      </c>
      <c r="F17" s="294"/>
      <c r="G17" s="296"/>
      <c r="H17" s="296"/>
      <c r="I17" s="114"/>
      <c r="J17" s="250"/>
      <c r="K17" s="297"/>
      <c r="N17" s="296"/>
      <c r="O17" s="296"/>
      <c r="P17" s="250"/>
      <c r="Q17" s="328"/>
    </row>
    <row r="18" spans="1:17" x14ac:dyDescent="0.25">
      <c r="A18" s="113" t="s">
        <v>103</v>
      </c>
      <c r="B18" s="250">
        <v>2.1484111519607842</v>
      </c>
      <c r="C18" s="118">
        <v>0.15999360025598977</v>
      </c>
      <c r="F18" s="294"/>
      <c r="G18" s="296"/>
      <c r="H18" s="296"/>
      <c r="I18" s="114"/>
      <c r="J18" s="250"/>
      <c r="K18" s="297"/>
      <c r="N18" s="296"/>
      <c r="O18" s="296"/>
      <c r="P18" s="250"/>
      <c r="Q18" s="328"/>
    </row>
    <row r="19" spans="1:17" x14ac:dyDescent="0.25">
      <c r="A19" s="113" t="s">
        <v>104</v>
      </c>
      <c r="B19" s="250">
        <v>3.1565539215686269</v>
      </c>
      <c r="C19" s="118">
        <v>0.21038711228660736</v>
      </c>
      <c r="F19" s="294"/>
      <c r="G19" s="296"/>
      <c r="H19" s="296"/>
      <c r="I19" s="114"/>
      <c r="J19" s="250"/>
      <c r="K19" s="297"/>
      <c r="N19" s="296"/>
      <c r="O19" s="296"/>
      <c r="P19" s="250"/>
      <c r="Q19" s="328"/>
    </row>
    <row r="20" spans="1:17" x14ac:dyDescent="0.25">
      <c r="A20" s="113" t="s">
        <v>64</v>
      </c>
      <c r="B20" s="250">
        <v>0.51376960784313719</v>
      </c>
      <c r="C20" s="118">
        <v>6.4870259481037931E-2</v>
      </c>
      <c r="F20" s="294"/>
      <c r="G20" s="296"/>
      <c r="H20" s="296"/>
      <c r="I20" s="114"/>
      <c r="J20" s="250"/>
      <c r="K20" s="297"/>
      <c r="N20" s="250"/>
      <c r="O20" s="250"/>
    </row>
    <row r="21" spans="1:17" x14ac:dyDescent="0.25">
      <c r="A21" s="113" t="s">
        <v>90</v>
      </c>
      <c r="B21" s="250">
        <v>1.0314607843137253</v>
      </c>
      <c r="C21" s="118">
        <v>7.4257425742574254E-2</v>
      </c>
      <c r="F21" s="294"/>
      <c r="G21" s="296"/>
      <c r="H21" s="296"/>
      <c r="I21" s="114"/>
      <c r="J21" s="250"/>
      <c r="K21" s="297"/>
      <c r="N21" s="250"/>
      <c r="O21" s="250"/>
    </row>
    <row r="22" spans="1:17" x14ac:dyDescent="0.25">
      <c r="A22" s="113" t="s">
        <v>67</v>
      </c>
      <c r="B22" s="250">
        <v>0.26908823529411763</v>
      </c>
      <c r="C22" s="118">
        <v>2.5201612903225808E-2</v>
      </c>
      <c r="F22" s="294"/>
      <c r="G22" s="296"/>
      <c r="H22" s="296"/>
      <c r="I22" s="114"/>
      <c r="J22" s="250"/>
      <c r="K22" s="297"/>
      <c r="N22" s="250"/>
      <c r="O22" s="250"/>
    </row>
    <row r="23" spans="1:17" x14ac:dyDescent="0.25">
      <c r="A23" s="113" t="s">
        <v>63</v>
      </c>
      <c r="B23" s="250">
        <v>1.0763167892156862</v>
      </c>
      <c r="C23" s="118">
        <v>6.6000000000000003E-2</v>
      </c>
      <c r="F23" s="294"/>
      <c r="G23" s="296"/>
      <c r="H23" s="296"/>
      <c r="I23" s="114"/>
      <c r="J23" s="250"/>
      <c r="K23" s="297"/>
      <c r="N23" s="250"/>
      <c r="O23" s="250"/>
    </row>
    <row r="24" spans="1:17" x14ac:dyDescent="0.25">
      <c r="A24" s="113" t="s">
        <v>24</v>
      </c>
      <c r="B24" s="250">
        <v>20.161691176470587</v>
      </c>
      <c r="C24" s="118">
        <v>2.1598677785290366</v>
      </c>
      <c r="F24" s="294"/>
      <c r="G24" s="296"/>
      <c r="H24" s="296"/>
      <c r="I24" s="114"/>
      <c r="J24" s="250"/>
      <c r="K24" s="297"/>
      <c r="N24" s="250"/>
      <c r="O24" s="250"/>
    </row>
    <row r="25" spans="1:17" x14ac:dyDescent="0.25">
      <c r="A25" s="113" t="s">
        <v>65</v>
      </c>
      <c r="B25" s="250">
        <v>8.6832720588235282E-2</v>
      </c>
      <c r="C25" s="118">
        <v>1E-3</v>
      </c>
      <c r="F25" s="294"/>
      <c r="G25" s="296"/>
      <c r="H25" s="296"/>
      <c r="I25" s="114"/>
      <c r="J25" s="250"/>
      <c r="K25" s="297"/>
      <c r="N25" s="250"/>
      <c r="O25" s="250"/>
    </row>
    <row r="26" spans="1:17" x14ac:dyDescent="0.25">
      <c r="A26" s="113" t="s">
        <v>66</v>
      </c>
      <c r="B26" s="250">
        <v>15.495088848039217</v>
      </c>
      <c r="C26" s="118">
        <v>1</v>
      </c>
      <c r="F26" s="294"/>
      <c r="G26" s="296"/>
      <c r="H26" s="296"/>
      <c r="I26" s="114"/>
      <c r="J26" s="250"/>
      <c r="K26" s="297"/>
      <c r="N26" s="250"/>
      <c r="O26" s="250"/>
    </row>
    <row r="27" spans="1:17" x14ac:dyDescent="0.25">
      <c r="A27" s="113" t="s">
        <v>225</v>
      </c>
      <c r="B27" s="250">
        <v>20.600658088235292</v>
      </c>
      <c r="C27" s="118">
        <v>2.248062015503876</v>
      </c>
      <c r="F27" s="294"/>
      <c r="G27" s="296"/>
      <c r="H27" s="296"/>
      <c r="I27" s="114"/>
      <c r="J27" s="250"/>
      <c r="K27" s="297"/>
      <c r="N27" s="250"/>
      <c r="O27" s="250"/>
    </row>
    <row r="28" spans="1:17" x14ac:dyDescent="0.25">
      <c r="A28" s="113" t="s">
        <v>226</v>
      </c>
      <c r="B28" s="250">
        <v>44.067129289215693</v>
      </c>
      <c r="C28" s="118">
        <v>4.556570690291621</v>
      </c>
      <c r="F28" s="294"/>
      <c r="G28" s="296"/>
      <c r="H28" s="296"/>
      <c r="I28" s="114"/>
      <c r="J28" s="250"/>
      <c r="K28" s="297"/>
      <c r="N28" s="250"/>
      <c r="O28" s="250"/>
    </row>
    <row r="29" spans="1:17" x14ac:dyDescent="0.25">
      <c r="A29" s="113" t="s">
        <v>228</v>
      </c>
      <c r="B29" s="250">
        <v>3.4100686274509804</v>
      </c>
      <c r="C29" s="118">
        <v>0.21002520302436292</v>
      </c>
      <c r="D29" s="113">
        <v>5.6500000000000002E-2</v>
      </c>
      <c r="F29" s="294"/>
      <c r="G29" s="296"/>
      <c r="H29" s="296"/>
      <c r="I29" s="114"/>
      <c r="J29" s="250"/>
      <c r="K29" s="297"/>
      <c r="N29" s="296"/>
      <c r="O29" s="296"/>
      <c r="P29" s="250"/>
      <c r="Q29" s="328"/>
    </row>
    <row r="30" spans="1:17" x14ac:dyDescent="0.25">
      <c r="A30" s="113" t="s">
        <v>229</v>
      </c>
      <c r="B30" s="250">
        <v>3.1373611922852129</v>
      </c>
      <c r="C30" s="118">
        <v>0.3</v>
      </c>
      <c r="F30" s="294"/>
      <c r="G30" s="296"/>
      <c r="H30" s="296"/>
      <c r="I30" s="114"/>
      <c r="J30" s="250"/>
      <c r="K30" s="297"/>
      <c r="N30" s="296"/>
      <c r="O30" s="296"/>
      <c r="P30" s="250"/>
      <c r="Q30" s="328"/>
    </row>
    <row r="31" spans="1:17" x14ac:dyDescent="0.25">
      <c r="A31" s="113" t="s">
        <v>243</v>
      </c>
      <c r="B31" s="250">
        <v>30.525887254901964</v>
      </c>
      <c r="C31" s="118">
        <v>2.1219999999999999</v>
      </c>
      <c r="D31" s="113">
        <v>1</v>
      </c>
      <c r="F31" s="294"/>
      <c r="G31" s="296"/>
      <c r="H31" s="296"/>
      <c r="I31" s="114"/>
      <c r="J31" s="250"/>
      <c r="K31" s="297"/>
      <c r="N31" s="250"/>
      <c r="O31" s="250"/>
    </row>
    <row r="32" spans="1:17" x14ac:dyDescent="0.25">
      <c r="A32" s="113" t="s">
        <v>244</v>
      </c>
      <c r="B32" s="250">
        <v>15.810565438193322</v>
      </c>
      <c r="C32" s="113">
        <v>2.1349999999999998</v>
      </c>
      <c r="D32" s="113">
        <v>1</v>
      </c>
      <c r="E32" s="114"/>
      <c r="F32" s="294"/>
      <c r="G32" s="296"/>
      <c r="H32" s="296"/>
      <c r="I32" s="114"/>
      <c r="J32" s="250"/>
      <c r="K32" s="297"/>
      <c r="N32" s="250"/>
      <c r="O32" s="250"/>
    </row>
    <row r="33" spans="1:17" x14ac:dyDescent="0.25">
      <c r="A33" s="113" t="s">
        <v>245</v>
      </c>
      <c r="B33" s="250">
        <v>1.7785539215686275</v>
      </c>
      <c r="C33" s="118">
        <v>0.28000000000000003</v>
      </c>
      <c r="F33" s="294"/>
      <c r="G33" s="296"/>
      <c r="H33" s="296"/>
      <c r="I33" s="114"/>
      <c r="J33" s="250"/>
      <c r="K33" s="297"/>
      <c r="N33" s="250"/>
      <c r="O33" s="250"/>
    </row>
    <row r="34" spans="1:17" x14ac:dyDescent="0.25">
      <c r="A34" s="113" t="s">
        <v>261</v>
      </c>
      <c r="B34" s="250">
        <v>11.742669696350763</v>
      </c>
      <c r="C34" s="118">
        <v>1</v>
      </c>
      <c r="D34" s="113">
        <v>0.185</v>
      </c>
      <c r="F34" s="294"/>
      <c r="G34" s="296"/>
      <c r="H34" s="296"/>
      <c r="I34" s="114"/>
      <c r="J34" s="250"/>
      <c r="K34" s="297"/>
      <c r="N34" s="296"/>
      <c r="O34" s="296"/>
      <c r="P34" s="250"/>
      <c r="Q34" s="328"/>
    </row>
    <row r="35" spans="1:17" x14ac:dyDescent="0.25">
      <c r="A35" s="113" t="s">
        <v>260</v>
      </c>
      <c r="B35" s="250">
        <v>3.9807751225490189</v>
      </c>
      <c r="C35" s="118">
        <v>0.34722222222222221</v>
      </c>
      <c r="D35" s="113">
        <v>0.11799999999999999</v>
      </c>
      <c r="F35" s="294"/>
      <c r="G35" s="296"/>
      <c r="H35" s="296"/>
      <c r="I35" s="114"/>
      <c r="J35" s="250"/>
      <c r="K35" s="297"/>
      <c r="N35" s="296"/>
      <c r="O35" s="296"/>
      <c r="P35" s="250"/>
      <c r="Q35" s="328"/>
    </row>
    <row r="36" spans="1:17" x14ac:dyDescent="0.25">
      <c r="A36" s="113" t="s">
        <v>262</v>
      </c>
      <c r="B36" s="250">
        <v>43.407348651960788</v>
      </c>
      <c r="C36" s="118">
        <v>3.5517338068978406</v>
      </c>
      <c r="F36" s="294"/>
      <c r="G36" s="296"/>
      <c r="H36" s="296"/>
      <c r="I36" s="114"/>
      <c r="J36" s="250"/>
      <c r="K36" s="297"/>
      <c r="N36" s="250"/>
      <c r="O36" s="250"/>
    </row>
    <row r="37" spans="1:17" x14ac:dyDescent="0.25">
      <c r="A37" s="113" t="s">
        <v>285</v>
      </c>
      <c r="B37" s="250">
        <v>6.5819573297018179</v>
      </c>
      <c r="C37" s="118">
        <v>0.99</v>
      </c>
      <c r="D37" s="113">
        <v>0.185</v>
      </c>
      <c r="F37" s="294"/>
      <c r="G37" s="296"/>
      <c r="H37" s="296"/>
      <c r="I37" s="114"/>
      <c r="J37" s="250"/>
      <c r="K37" s="297"/>
      <c r="N37" s="296"/>
      <c r="O37" s="296"/>
      <c r="P37" s="250"/>
      <c r="Q37" s="328"/>
    </row>
    <row r="38" spans="1:17" x14ac:dyDescent="0.25">
      <c r="A38" s="113" t="s">
        <v>294</v>
      </c>
      <c r="B38" s="250">
        <v>0</v>
      </c>
      <c r="C38" s="118">
        <v>0</v>
      </c>
      <c r="D38" s="113">
        <v>0</v>
      </c>
      <c r="F38" s="294"/>
      <c r="G38" s="296"/>
      <c r="H38" s="296"/>
      <c r="I38" s="114"/>
      <c r="J38" s="250"/>
      <c r="K38" s="297"/>
    </row>
    <row r="39" spans="1:17" x14ac:dyDescent="0.25">
      <c r="A39" s="113" t="s">
        <v>487</v>
      </c>
      <c r="B39" s="250">
        <v>0.26960784313725489</v>
      </c>
      <c r="C39" s="118">
        <v>0.02</v>
      </c>
      <c r="F39" s="294"/>
      <c r="G39" s="296"/>
      <c r="H39" s="296"/>
      <c r="I39" s="114"/>
      <c r="J39" s="250"/>
      <c r="K39" s="297"/>
    </row>
    <row r="40" spans="1:17" x14ac:dyDescent="0.25">
      <c r="A40" s="113" t="s">
        <v>488</v>
      </c>
      <c r="B40" s="250">
        <v>0.44920343137254903</v>
      </c>
      <c r="C40" s="118">
        <v>0.02</v>
      </c>
      <c r="F40" s="294"/>
      <c r="G40" s="296"/>
      <c r="H40" s="296"/>
      <c r="I40" s="114"/>
      <c r="J40" s="250"/>
      <c r="K40" s="297"/>
    </row>
    <row r="41" spans="1:17" x14ac:dyDescent="0.25">
      <c r="A41" s="113" t="s">
        <v>489</v>
      </c>
      <c r="B41" s="250">
        <v>0.61427696078431371</v>
      </c>
      <c r="C41" s="118">
        <v>0.02</v>
      </c>
      <c r="F41" s="294"/>
      <c r="G41" s="296"/>
      <c r="H41" s="296"/>
      <c r="I41" s="114"/>
      <c r="J41" s="250"/>
      <c r="K41" s="297"/>
    </row>
    <row r="42" spans="1:17" x14ac:dyDescent="0.25">
      <c r="A42" s="113" t="s">
        <v>490</v>
      </c>
      <c r="B42" s="250">
        <v>9.1911764705882356E-3</v>
      </c>
      <c r="C42" s="118">
        <v>0.01</v>
      </c>
      <c r="F42" s="294"/>
      <c r="G42" s="296"/>
      <c r="H42" s="296"/>
      <c r="I42" s="114"/>
      <c r="J42" s="250"/>
      <c r="K42" s="297"/>
    </row>
    <row r="43" spans="1:17" x14ac:dyDescent="0.25">
      <c r="A43" s="113" t="s">
        <v>491</v>
      </c>
      <c r="B43" s="250">
        <v>4.2156862745098035E-2</v>
      </c>
      <c r="C43" s="118">
        <v>0.01</v>
      </c>
      <c r="F43" s="294"/>
      <c r="G43" s="296"/>
      <c r="H43" s="296"/>
      <c r="I43" s="114"/>
      <c r="J43" s="250"/>
      <c r="K43" s="297"/>
    </row>
    <row r="44" spans="1:17" x14ac:dyDescent="0.25">
      <c r="A44" s="113" t="s">
        <v>492</v>
      </c>
      <c r="B44" s="250">
        <v>2.371323529411765E-2</v>
      </c>
      <c r="C44" s="118">
        <v>0.01</v>
      </c>
      <c r="F44" s="294"/>
      <c r="G44" s="296"/>
      <c r="H44" s="296"/>
      <c r="I44" s="114"/>
      <c r="J44" s="250"/>
      <c r="K44" s="297"/>
    </row>
    <row r="45" spans="1:17" x14ac:dyDescent="0.25">
      <c r="A45" s="113" t="s">
        <v>498</v>
      </c>
      <c r="B45" s="250">
        <v>22.295750000000002</v>
      </c>
      <c r="C45" s="118">
        <v>0</v>
      </c>
      <c r="F45" s="294"/>
      <c r="G45" s="296"/>
      <c r="H45" s="296"/>
      <c r="I45" s="114"/>
      <c r="J45" s="250"/>
      <c r="K45" s="297"/>
    </row>
    <row r="46" spans="1:17" x14ac:dyDescent="0.25">
      <c r="A46" s="113" t="s">
        <v>523</v>
      </c>
      <c r="B46" s="250">
        <v>0.50245098039215685</v>
      </c>
      <c r="C46" s="118">
        <v>0</v>
      </c>
      <c r="F46" s="294"/>
      <c r="G46" s="296"/>
      <c r="H46" s="296"/>
      <c r="I46" s="114"/>
      <c r="J46" s="250"/>
      <c r="K46" s="297"/>
    </row>
    <row r="47" spans="1:17" x14ac:dyDescent="0.25">
      <c r="A47" s="113" t="s">
        <v>644</v>
      </c>
      <c r="B47" s="250">
        <v>1.0951556372549018</v>
      </c>
      <c r="C47" s="118">
        <v>0.115</v>
      </c>
      <c r="F47" s="294"/>
      <c r="G47" s="296"/>
      <c r="H47" s="296"/>
      <c r="I47" s="114"/>
      <c r="J47" s="250"/>
      <c r="K47" s="297"/>
    </row>
    <row r="48" spans="1:17" x14ac:dyDescent="0.25">
      <c r="A48" s="113" t="s">
        <v>645</v>
      </c>
      <c r="B48" s="250">
        <v>0.88977022058823529</v>
      </c>
      <c r="C48" s="118">
        <v>0.128</v>
      </c>
      <c r="F48" s="294"/>
      <c r="G48" s="296"/>
      <c r="H48" s="296"/>
      <c r="I48" s="114"/>
      <c r="J48" s="250"/>
      <c r="K48" s="297"/>
    </row>
    <row r="49" spans="1:11" x14ac:dyDescent="0.25">
      <c r="A49" s="113" t="s">
        <v>646</v>
      </c>
      <c r="B49" s="250">
        <v>0.47744791666666664</v>
      </c>
      <c r="C49" s="118">
        <v>0.15</v>
      </c>
      <c r="F49" s="294"/>
      <c r="G49" s="296"/>
      <c r="H49" s="296"/>
      <c r="I49" s="114"/>
      <c r="J49" s="250"/>
      <c r="K49" s="297"/>
    </row>
    <row r="50" spans="1:11" x14ac:dyDescent="0.25">
      <c r="A50" s="113" t="s">
        <v>652</v>
      </c>
      <c r="B50" s="250">
        <v>0.72303921568627449</v>
      </c>
      <c r="C50" s="118">
        <v>0</v>
      </c>
      <c r="F50" s="294"/>
      <c r="G50" s="296"/>
      <c r="H50" s="296"/>
      <c r="I50" s="114"/>
      <c r="J50" s="250"/>
      <c r="K50" s="297"/>
    </row>
    <row r="51" spans="1:11" x14ac:dyDescent="0.25">
      <c r="A51" s="113" t="s">
        <v>653</v>
      </c>
      <c r="B51" s="250">
        <v>0.1482702205882353</v>
      </c>
      <c r="C51" s="118">
        <v>0</v>
      </c>
      <c r="F51" s="294"/>
      <c r="G51" s="296"/>
      <c r="H51" s="296"/>
      <c r="I51" s="114"/>
      <c r="J51" s="250"/>
      <c r="K51" s="297"/>
    </row>
    <row r="52" spans="1:11" x14ac:dyDescent="0.25">
      <c r="A52" s="113" t="s">
        <v>655</v>
      </c>
      <c r="B52" s="250">
        <v>27.573529411764707</v>
      </c>
      <c r="C52" s="118">
        <v>0</v>
      </c>
      <c r="F52" s="294"/>
      <c r="G52" s="296"/>
      <c r="H52" s="296"/>
      <c r="I52" s="114"/>
      <c r="J52" s="250"/>
      <c r="K52" s="297"/>
    </row>
    <row r="53" spans="1:11" x14ac:dyDescent="0.25">
      <c r="A53" s="113" t="s">
        <v>656</v>
      </c>
      <c r="B53" s="250">
        <v>36.764705882352942</v>
      </c>
      <c r="C53" s="118">
        <v>0</v>
      </c>
      <c r="F53" s="294"/>
      <c r="G53" s="296"/>
      <c r="H53" s="296"/>
      <c r="I53" s="114"/>
      <c r="J53" s="250"/>
      <c r="K53" s="297"/>
    </row>
    <row r="54" spans="1:11" x14ac:dyDescent="0.25">
      <c r="A54" s="113" t="s">
        <v>659</v>
      </c>
      <c r="B54" s="250">
        <v>0</v>
      </c>
      <c r="C54" s="118">
        <v>0</v>
      </c>
      <c r="F54" s="294"/>
      <c r="G54" s="296"/>
      <c r="H54" s="296"/>
      <c r="I54" s="114"/>
      <c r="J54" s="250"/>
      <c r="K54" s="297"/>
    </row>
    <row r="55" spans="1:11" x14ac:dyDescent="0.25">
      <c r="A55" s="113" t="s">
        <v>660</v>
      </c>
      <c r="B55" s="250">
        <v>0</v>
      </c>
      <c r="C55" s="118">
        <v>0</v>
      </c>
      <c r="F55" s="294"/>
      <c r="G55" s="296"/>
      <c r="H55" s="296"/>
      <c r="I55" s="114"/>
      <c r="J55" s="250"/>
      <c r="K55" s="297"/>
    </row>
  </sheetData>
  <sheetProtection algorithmName="SHA-512" hashValue="9YxCeXPN6o/YJn3YrpTgIjdDQXKGfSkWcYW+qtqT8W2qYZ2H3fV6AIrVhuk1LpJlEejNpbz7c/3RbNN+4qTMRA==" saltValue="5YxOZDGfy3p1/Od5oLHIRg==" spinCount="100000" sheet="1" selectLockedCells="1" selectUnlockedCells="1"/>
  <autoFilter ref="A1:P49" xr:uid="{00000000-0009-0000-0000-00000A00000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Munka6"/>
  <dimension ref="A1:R14"/>
  <sheetViews>
    <sheetView workbookViewId="0"/>
  </sheetViews>
  <sheetFormatPr defaultRowHeight="15" x14ac:dyDescent="0.25"/>
  <cols>
    <col min="1" max="1" width="2.85546875" style="113" bestFit="1" customWidth="1"/>
    <col min="2" max="2" width="23.7109375" style="113" customWidth="1"/>
    <col min="3" max="3" width="10.140625" style="113" bestFit="1" customWidth="1"/>
    <col min="4" max="4" width="16.7109375" style="113" bestFit="1" customWidth="1"/>
    <col min="5" max="5" width="19" style="113" bestFit="1" customWidth="1"/>
    <col min="6" max="6" width="19.140625" style="113" bestFit="1" customWidth="1"/>
    <col min="7" max="7" width="21" style="113" bestFit="1" customWidth="1"/>
    <col min="8" max="8" width="20.28515625" style="113" bestFit="1" customWidth="1"/>
    <col min="9" max="9" width="29.28515625" style="113" bestFit="1" customWidth="1"/>
    <col min="10" max="10" width="29.85546875" style="113" bestFit="1" customWidth="1"/>
    <col min="11" max="11" width="20.7109375" style="113" bestFit="1" customWidth="1"/>
    <col min="12" max="12" width="20.7109375" style="113" customWidth="1"/>
    <col min="13" max="13" width="21.28515625" style="113" bestFit="1" customWidth="1"/>
    <col min="14" max="14" width="21.28515625" style="113" customWidth="1"/>
    <col min="15" max="15" width="62.42578125" style="113" customWidth="1"/>
    <col min="16" max="16" width="49.42578125" style="113" customWidth="1"/>
    <col min="17" max="18" width="10.42578125" style="113" bestFit="1" customWidth="1"/>
    <col min="19" max="16384" width="9.140625" style="113"/>
  </cols>
  <sheetData>
    <row r="1" spans="1:18" x14ac:dyDescent="0.25">
      <c r="A1" s="113" t="s">
        <v>16</v>
      </c>
      <c r="B1" s="113" t="s">
        <v>13</v>
      </c>
      <c r="C1" s="113" t="s">
        <v>14</v>
      </c>
      <c r="D1" s="113" t="s">
        <v>15</v>
      </c>
      <c r="E1" s="113" t="s">
        <v>278</v>
      </c>
      <c r="F1" s="113" t="s">
        <v>279</v>
      </c>
      <c r="G1" s="113" t="s">
        <v>274</v>
      </c>
      <c r="H1" s="113" t="s">
        <v>275</v>
      </c>
      <c r="I1" s="113" t="s">
        <v>276</v>
      </c>
      <c r="J1" s="113" t="s">
        <v>277</v>
      </c>
      <c r="K1" s="113" t="s">
        <v>291</v>
      </c>
      <c r="L1" s="113" t="s">
        <v>300</v>
      </c>
      <c r="M1" s="113" t="s">
        <v>295</v>
      </c>
      <c r="N1" s="113" t="s">
        <v>300</v>
      </c>
      <c r="O1" s="113" t="s">
        <v>298</v>
      </c>
      <c r="P1" s="113" t="s">
        <v>299</v>
      </c>
      <c r="Q1" s="113" t="s">
        <v>569</v>
      </c>
      <c r="R1" s="113" t="s">
        <v>570</v>
      </c>
    </row>
    <row r="2" spans="1:18" x14ac:dyDescent="0.25">
      <c r="A2" s="113">
        <v>1</v>
      </c>
      <c r="B2" s="113" t="s">
        <v>20</v>
      </c>
      <c r="C2" s="113" t="s">
        <v>47</v>
      </c>
      <c r="D2" s="113" t="s">
        <v>309</v>
      </c>
      <c r="E2" s="113">
        <v>40</v>
      </c>
      <c r="F2" s="113">
        <v>40</v>
      </c>
      <c r="G2" s="113">
        <f>80+E2</f>
        <v>120</v>
      </c>
      <c r="H2" s="113">
        <f>E2+F2</f>
        <v>80</v>
      </c>
      <c r="I2" s="113">
        <f>80+F2</f>
        <v>120</v>
      </c>
      <c r="J2" s="113">
        <f>160+F2</f>
        <v>200</v>
      </c>
      <c r="K2" s="113" t="s">
        <v>292</v>
      </c>
      <c r="L2" s="113">
        <f>IF('order form'!$D$58&gt;1," - ",4500)</f>
        <v>4500</v>
      </c>
      <c r="M2" s="113" t="s">
        <v>296</v>
      </c>
      <c r="N2" s="113">
        <f>IF('order form'!$D$58&gt;1," - ",6000)</f>
        <v>6000</v>
      </c>
      <c r="O2" s="113" t="str">
        <f>languages!$B$59</f>
        <v>A4R reinforced upper profiles in intermediate and bottom sections (recommended if section width &gt;= 4500mm)</v>
      </c>
      <c r="P2" s="113" t="str">
        <f>languages!$B$64</f>
        <v>A5R extra reinforcement on reinforced upper profiles (recommended if section width &gt;= 6000mm)</v>
      </c>
      <c r="Q2" s="113">
        <v>0</v>
      </c>
      <c r="R2" s="113">
        <v>1</v>
      </c>
    </row>
    <row r="3" spans="1:18" x14ac:dyDescent="0.25">
      <c r="A3" s="113">
        <v>2</v>
      </c>
      <c r="B3" s="113" t="s">
        <v>17</v>
      </c>
      <c r="C3" s="113" t="s">
        <v>48</v>
      </c>
      <c r="D3" s="113" t="s">
        <v>310</v>
      </c>
      <c r="E3" s="113">
        <v>50</v>
      </c>
      <c r="F3" s="113">
        <v>30</v>
      </c>
      <c r="G3" s="113">
        <f>80+E3</f>
        <v>130</v>
      </c>
      <c r="H3" s="113">
        <f>E3+F3</f>
        <v>80</v>
      </c>
      <c r="I3" s="113">
        <f>80+F3</f>
        <v>110</v>
      </c>
      <c r="J3" s="113">
        <f>160+F3</f>
        <v>190</v>
      </c>
      <c r="K3" s="113" t="s">
        <v>293</v>
      </c>
      <c r="L3" s="113">
        <f>IF('order form'!$D$58&gt;1," - ",6000)</f>
        <v>6000</v>
      </c>
      <c r="M3" s="113" t="s">
        <v>297</v>
      </c>
      <c r="N3" s="113">
        <f>IF('order form'!$D$58&gt;1," - ",6000)</f>
        <v>6000</v>
      </c>
      <c r="O3" s="113" t="str">
        <f>languages!$B$60</f>
        <v>A4ETR reinforced upper profiles in intermediate and bottom sections (recommended if section width &gt;= 6000mm)</v>
      </c>
      <c r="P3" s="113" t="str">
        <f>languages!$B$65</f>
        <v>A5TR extra reinforcement on reinforced upper profiles (recommended if section width &gt;= 6000mm)</v>
      </c>
      <c r="Q3" s="113">
        <v>0</v>
      </c>
      <c r="R3" s="113">
        <v>1</v>
      </c>
    </row>
    <row r="4" spans="1:18" x14ac:dyDescent="0.25">
      <c r="A4" s="113">
        <v>3</v>
      </c>
      <c r="B4" s="113" t="s">
        <v>18</v>
      </c>
      <c r="C4" s="113" t="s">
        <v>49</v>
      </c>
      <c r="D4" s="113" t="s">
        <v>311</v>
      </c>
      <c r="E4" s="113">
        <v>50</v>
      </c>
      <c r="F4" s="113">
        <v>30</v>
      </c>
      <c r="G4" s="113">
        <f>80+E4</f>
        <v>130</v>
      </c>
      <c r="H4" s="113">
        <f>E4+F4</f>
        <v>80</v>
      </c>
      <c r="I4" s="113">
        <f>80+F4</f>
        <v>110</v>
      </c>
      <c r="J4" s="113">
        <f>160+F4</f>
        <v>190</v>
      </c>
      <c r="K4" s="113" t="s">
        <v>294</v>
      </c>
      <c r="L4" s="113" t="s">
        <v>294</v>
      </c>
      <c r="M4" s="113" t="s">
        <v>294</v>
      </c>
      <c r="N4" s="113" t="s">
        <v>294</v>
      </c>
      <c r="O4" s="113" t="str">
        <f>languages!$B$61</f>
        <v>Reinforced upper profile is not available for Kingspan panel type</v>
      </c>
      <c r="P4" s="113" t="str">
        <f>languages!$B$66</f>
        <v>Extra reinforcement is not available for Kingspan panel type</v>
      </c>
      <c r="Q4" s="113">
        <v>1</v>
      </c>
      <c r="R4" s="113">
        <v>0</v>
      </c>
    </row>
    <row r="5" spans="1:18" x14ac:dyDescent="0.25">
      <c r="A5" s="113">
        <v>4</v>
      </c>
      <c r="B5" s="113" t="s">
        <v>19</v>
      </c>
      <c r="C5" s="113" t="s">
        <v>50</v>
      </c>
      <c r="D5" s="113" t="s">
        <v>51</v>
      </c>
      <c r="E5" s="113">
        <v>50</v>
      </c>
      <c r="F5" s="113">
        <v>30</v>
      </c>
      <c r="G5" s="113">
        <f>80+E5</f>
        <v>130</v>
      </c>
      <c r="H5" s="113">
        <f>E5+F5</f>
        <v>80</v>
      </c>
      <c r="I5" s="113">
        <f>80+F5</f>
        <v>110</v>
      </c>
      <c r="J5" s="113">
        <f>160+F5</f>
        <v>190</v>
      </c>
      <c r="K5" s="113" t="s">
        <v>294</v>
      </c>
      <c r="L5" s="113" t="s">
        <v>294</v>
      </c>
      <c r="M5" s="113" t="s">
        <v>294</v>
      </c>
      <c r="N5" s="113" t="s">
        <v>294</v>
      </c>
      <c r="O5" s="113" t="str">
        <f>languages!$B$62</f>
        <v>Reinforced upper profile is not available for Metecno panel type</v>
      </c>
      <c r="P5" s="113" t="str">
        <f>languages!$B$67</f>
        <v>Extra reinforcement profile is not available for Metecno panel type</v>
      </c>
      <c r="Q5" s="113">
        <v>0</v>
      </c>
      <c r="R5" s="113">
        <v>1</v>
      </c>
    </row>
    <row r="6" spans="1:18" x14ac:dyDescent="0.25">
      <c r="A6" s="113">
        <v>5</v>
      </c>
      <c r="B6" s="113" t="s">
        <v>288</v>
      </c>
      <c r="C6" s="113" t="s">
        <v>289</v>
      </c>
      <c r="D6" s="113" t="s">
        <v>290</v>
      </c>
      <c r="E6" s="113">
        <v>50</v>
      </c>
      <c r="F6" s="113">
        <v>30</v>
      </c>
      <c r="G6" s="113">
        <f>80+E6</f>
        <v>130</v>
      </c>
      <c r="H6" s="113">
        <f>E6+F6</f>
        <v>80</v>
      </c>
      <c r="I6" s="113">
        <f>80+F6</f>
        <v>110</v>
      </c>
      <c r="J6" s="113">
        <f>160+F6</f>
        <v>190</v>
      </c>
      <c r="K6" s="113" t="s">
        <v>294</v>
      </c>
      <c r="L6" s="113" t="s">
        <v>294</v>
      </c>
      <c r="M6" s="113" t="s">
        <v>294</v>
      </c>
      <c r="N6" s="113" t="s">
        <v>294</v>
      </c>
      <c r="O6" s="113" t="str">
        <f>languages!$B$63</f>
        <v>Reinforced upper profile is not available for TK Hoesch panel type</v>
      </c>
      <c r="P6" s="113" t="str">
        <f>languages!$B$68</f>
        <v>extra reinforcement profile is not available for TK Hoesch panel type</v>
      </c>
      <c r="Q6" s="113">
        <v>0</v>
      </c>
      <c r="R6" s="113">
        <v>1</v>
      </c>
    </row>
    <row r="9" spans="1:18" x14ac:dyDescent="0.25">
      <c r="B9" s="113" t="s">
        <v>301</v>
      </c>
      <c r="D9" s="113" t="s">
        <v>300</v>
      </c>
      <c r="E9" s="113" t="s">
        <v>280</v>
      </c>
    </row>
    <row r="10" spans="1:18" x14ac:dyDescent="0.25">
      <c r="B10" s="113" t="s">
        <v>304</v>
      </c>
      <c r="C10" s="292">
        <f>IF('order form'!$K$12+'order form'!$K$14&gt;=D10,1,0)</f>
        <v>0</v>
      </c>
      <c r="D10" s="113">
        <v>5000</v>
      </c>
      <c r="E10" s="113" t="str">
        <f>IF(C10,"A1D","A1E")</f>
        <v>A1E</v>
      </c>
    </row>
    <row r="11" spans="1:18" x14ac:dyDescent="0.25">
      <c r="B11" s="113" t="s">
        <v>305</v>
      </c>
      <c r="C11" s="292">
        <f>IF('order form'!$K$12+'order form'!$K$14&gt;=D11,1,0)</f>
        <v>0</v>
      </c>
      <c r="D11" s="113">
        <v>6000</v>
      </c>
      <c r="E11" s="113" t="str">
        <f>IF(C11,"A1D","A1E")</f>
        <v>A1E</v>
      </c>
    </row>
    <row r="12" spans="1:18" x14ac:dyDescent="0.25">
      <c r="B12" s="113" t="s">
        <v>306</v>
      </c>
      <c r="C12" s="292">
        <f>IF('order form'!$K$12+'order form'!$K$14&gt;=D12,1,0)</f>
        <v>0</v>
      </c>
      <c r="D12" s="113">
        <f>INDEX(L2:L6,'order form'!D14)</f>
        <v>4500</v>
      </c>
      <c r="E12" s="113" t="str">
        <f>INDEX(IF(C12,K2:K6,D2:D6),'order form'!D14)</f>
        <v>A4T</v>
      </c>
    </row>
    <row r="13" spans="1:18" x14ac:dyDescent="0.25">
      <c r="B13" s="113" t="s">
        <v>307</v>
      </c>
      <c r="C13" s="292">
        <f>IF('order form'!$K$12+'order form'!$K$14&gt;=D13,1,0)</f>
        <v>0</v>
      </c>
      <c r="D13" s="113">
        <f>INDEX(N2:N6,'order form'!D14)</f>
        <v>6000</v>
      </c>
      <c r="E13" s="113" t="str">
        <f>IF(C13,INDEX(M2:M6,'order form'!D14)," - ")</f>
        <v xml:space="preserve"> - </v>
      </c>
    </row>
    <row r="14" spans="1:18" x14ac:dyDescent="0.25">
      <c r="B14" s="113" t="s">
        <v>303</v>
      </c>
      <c r="C14" s="292" t="b">
        <v>1</v>
      </c>
    </row>
  </sheetData>
  <sheetProtection algorithmName="SHA-512" hashValue="oO5vIxes0Qa7VhmprqLsqdvwnmifnA7fnNfFMW+luLLyhZ6g5P0C9W1h/aYfwMdQ4ADghvrC6QEirpwg5dKFwg==" saltValue="i2XjiFd/2VXwltCKZOLVzQ==" spinCount="100000" sheet="1" selectLockedCells="1" selectUnlockedCells="1"/>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Munka7"/>
  <dimension ref="A1:J4"/>
  <sheetViews>
    <sheetView workbookViewId="0"/>
  </sheetViews>
  <sheetFormatPr defaultRowHeight="15" x14ac:dyDescent="0.25"/>
  <cols>
    <col min="1" max="1" width="9.140625" style="113"/>
    <col min="2" max="2" width="28.85546875" style="113" bestFit="1" customWidth="1"/>
    <col min="3" max="3" width="9.140625" style="113"/>
    <col min="4" max="4" width="10.140625" style="113" bestFit="1" customWidth="1"/>
    <col min="5" max="16384" width="9.140625" style="113"/>
  </cols>
  <sheetData>
    <row r="1" spans="1:10" x14ac:dyDescent="0.25">
      <c r="A1" s="113" t="s">
        <v>16</v>
      </c>
      <c r="B1" s="113" t="s">
        <v>21</v>
      </c>
      <c r="C1" s="113" t="s">
        <v>147</v>
      </c>
    </row>
    <row r="2" spans="1:10" x14ac:dyDescent="0.25">
      <c r="A2" s="113">
        <v>1</v>
      </c>
      <c r="B2" s="113" t="str">
        <f>languages!$B$18</f>
        <v>no</v>
      </c>
      <c r="C2" s="114">
        <v>0</v>
      </c>
    </row>
    <row r="3" spans="1:10" x14ac:dyDescent="0.25">
      <c r="A3" s="113">
        <v>2</v>
      </c>
      <c r="B3" s="113" t="str">
        <f>languages!$B$20</f>
        <v>yes</v>
      </c>
      <c r="C3" s="114">
        <v>45.955882352941174</v>
      </c>
      <c r="D3" s="294"/>
      <c r="E3" s="294"/>
      <c r="F3" s="114"/>
      <c r="H3" s="114"/>
      <c r="I3" s="114"/>
      <c r="J3" s="328"/>
    </row>
    <row r="4" spans="1:10" x14ac:dyDescent="0.25">
      <c r="C4" s="114"/>
    </row>
  </sheetData>
  <sheetProtection algorithmName="SHA-512" hashValue="vFO3rU1mQvYX68kZ5wWy33p1f7rnjLySm9s/ToCct44DSCEr17liknjjjrn95oLHCHq8OOTkmIe6II0VOXaWFA==" saltValue="CIiUWFRnWhgYoG01wbM3ZA==" spinCount="100000" sheet="1" selectLockedCells="1" selectUnlockedCell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Munka8"/>
  <dimension ref="A1:C3"/>
  <sheetViews>
    <sheetView workbookViewId="0">
      <selection activeCell="C1" sqref="C1"/>
    </sheetView>
  </sheetViews>
  <sheetFormatPr defaultRowHeight="15" x14ac:dyDescent="0.25"/>
  <cols>
    <col min="1" max="16384" width="9.140625" style="113"/>
  </cols>
  <sheetData>
    <row r="1" spans="1:3" x14ac:dyDescent="0.25">
      <c r="A1" s="113" t="s">
        <v>16</v>
      </c>
      <c r="B1" s="113" t="s">
        <v>22</v>
      </c>
    </row>
    <row r="2" spans="1:3" x14ac:dyDescent="0.25">
      <c r="A2" s="113">
        <v>1</v>
      </c>
      <c r="B2" s="113" t="str">
        <f>languages!$B$31</f>
        <v>single</v>
      </c>
      <c r="C2" s="113" t="s">
        <v>90</v>
      </c>
    </row>
    <row r="3" spans="1:3" x14ac:dyDescent="0.25">
      <c r="A3" s="113">
        <v>2</v>
      </c>
      <c r="B3" s="113" t="str">
        <f>languages!$B$32</f>
        <v>double</v>
      </c>
      <c r="C3" s="113" t="s">
        <v>64</v>
      </c>
    </row>
  </sheetData>
  <sheetProtection algorithmName="SHA-512" hashValue="P0x1QyZP4PzvA8X0r3ObKtrevjzZp0DWvybqrUpPZ4c4LIdRtQ5Qy9sdaxgDQTaRb9dXX2P3mq0/JqDieDA6fA==" saltValue="qK/x3hDxB+rsax+6CBBpuw==" spinCount="100000" sheet="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d3d6714-90da-4359-9ee6-798266907b5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2853F2FBDEA734B97BF0BE0CB0797D4" ma:contentTypeVersion="12" ma:contentTypeDescription="Create a new document." ma:contentTypeScope="" ma:versionID="14b656ece5f33e4d0a9e94c7a177d62e">
  <xsd:schema xmlns:xsd="http://www.w3.org/2001/XMLSchema" xmlns:xs="http://www.w3.org/2001/XMLSchema" xmlns:p="http://schemas.microsoft.com/office/2006/metadata/properties" xmlns:ns2="2d3d6714-90da-4359-9ee6-798266907b5f" targetNamespace="http://schemas.microsoft.com/office/2006/metadata/properties" ma:root="true" ma:fieldsID="47def47ed3362718de2818b2115db757" ns2:_="">
    <xsd:import namespace="2d3d6714-90da-4359-9ee6-798266907b5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3d6714-90da-4359-9ee6-798266907b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3e4dad3b-34f5-4e86-9cbd-a67d25434a27" ma:termSetId="09814cd3-568e-fe90-9814-8d621ff8fb84" ma:anchorId="fba54fb3-c3e1-fe81-a776-ca4b69148c4d" ma:open="true" ma:isKeyword="false">
      <xsd:complexType>
        <xsd:sequence>
          <xsd:element ref="pc:Terms" minOccurs="0" maxOccurs="1"/>
        </xsd:sequence>
      </xsd:complex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D82D50-399B-4D57-A612-1D15C1CC1E5F}">
  <ds:schemaRefs>
    <ds:schemaRef ds:uri="http://schemas.microsoft.com/office/2006/metadata/properties"/>
    <ds:schemaRef ds:uri="http://schemas.microsoft.com/office/infopath/2007/PartnerControls"/>
    <ds:schemaRef ds:uri="2d3d6714-90da-4359-9ee6-798266907b5f"/>
  </ds:schemaRefs>
</ds:datastoreItem>
</file>

<file path=customXml/itemProps2.xml><?xml version="1.0" encoding="utf-8"?>
<ds:datastoreItem xmlns:ds="http://schemas.openxmlformats.org/officeDocument/2006/customXml" ds:itemID="{6E86F1A5-0F20-4AB7-8674-61F884401BC4}">
  <ds:schemaRefs>
    <ds:schemaRef ds:uri="http://schemas.microsoft.com/sharepoint/v3/contenttype/forms"/>
  </ds:schemaRefs>
</ds:datastoreItem>
</file>

<file path=customXml/itemProps3.xml><?xml version="1.0" encoding="utf-8"?>
<ds:datastoreItem xmlns:ds="http://schemas.openxmlformats.org/officeDocument/2006/customXml" ds:itemID="{CCB8A359-BE8C-4B7E-BB5E-06393043B5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3d6714-90da-4359-9ee6-798266907b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f0bdc1c9-5148-4f86-ac40-edd976e1814c}" enabled="0" method="" siteId="{f0bdc1c9-5148-4f86-ac40-edd976e1814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vt:i4>
      </vt:variant>
    </vt:vector>
  </HeadingPairs>
  <TitlesOfParts>
    <vt:vector size="17" baseType="lpstr">
      <vt:lpstr>order form</vt:lpstr>
      <vt:lpstr>price calculation</vt:lpstr>
      <vt:lpstr>staging</vt:lpstr>
      <vt:lpstr>languages</vt:lpstr>
      <vt:lpstr>drilling</vt:lpstr>
      <vt:lpstr>mat</vt:lpstr>
      <vt:lpstr>paneltypes</vt:lpstr>
      <vt:lpstr>powdercoating</vt:lpstr>
      <vt:lpstr>glassing</vt:lpstr>
      <vt:lpstr>plexi</vt:lpstr>
      <vt:lpstr>lath</vt:lpstr>
      <vt:lpstr>oper</vt:lpstr>
      <vt:lpstr>comp</vt:lpstr>
      <vt:lpstr>parity</vt:lpstr>
      <vt:lpstr>alubond</vt:lpstr>
      <vt:lpstr>passdoor</vt:lpstr>
      <vt:lpstr>'order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Magyar, Dusán</dc:creator>
  <cp:lastModifiedBy>van Hierden, Gerlinde</cp:lastModifiedBy>
  <cp:lastPrinted>2022-07-12T11:54:23Z</cp:lastPrinted>
  <dcterms:created xsi:type="dcterms:W3CDTF">2010-04-12T12:34:54Z</dcterms:created>
  <dcterms:modified xsi:type="dcterms:W3CDTF">2025-04-01T06:23:14Z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0x010100F2853F2FBDEA734B97BF0BE0CB0797D4</vt:lpwstr>
  </property>
</Properties>
</file>